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806277\OneDrive - Atos\ADEPME\Contenus Portail Grand Public\Boite a outils\2. Boîte à outils-20230124T122152Z-001\2. Boîte à outils\Outils\"/>
    </mc:Choice>
  </mc:AlternateContent>
  <xr:revisionPtr revIDLastSave="0" documentId="13_ncr:1_{83812BFC-FB1B-45D0-9629-ED9BB45C233C}" xr6:coauthVersionLast="47" xr6:coauthVersionMax="47" xr10:uidLastSave="{00000000-0000-0000-0000-000000000000}"/>
  <bookViews>
    <workbookView xWindow="1580" yWindow="830" windowWidth="16980" windowHeight="8800" xr2:uid="{00000000-000D-0000-FFFF-FFFF00000000}"/>
  </bookViews>
  <sheets>
    <sheet name="Sommaire" sheetId="1" r:id="rId1"/>
    <sheet name="Checklist" sheetId="2" r:id="rId2"/>
    <sheet name="Hypotheses" sheetId="3" r:id="rId3"/>
    <sheet name="Estimation des autres charges" sheetId="4" r:id="rId4"/>
    <sheet name="OPEX" sheetId="5" r:id="rId5"/>
    <sheet name="Amort_Immobilisation" sheetId="6" r:id="rId6"/>
    <sheet name="TA _Invest" sheetId="7" r:id="rId7"/>
    <sheet name="TA _Exploitation" sheetId="8" r:id="rId8"/>
    <sheet name="CEP" sheetId="9" r:id="rId9"/>
    <sheet name="Plan tréso" sheetId="10" r:id="rId10"/>
    <sheet name="Cashflow" sheetId="11" r:id="rId11"/>
    <sheet name="Données_Graph" sheetId="12" state="hidden" r:id="rId12"/>
    <sheet name="GRAPH" sheetId="13" r:id="rId13"/>
    <sheet name="Equilibre" sheetId="14" r:id="rId14"/>
  </sheets>
  <definedNames>
    <definedName name="Amort_Bat">Hypotheses!$F$33</definedName>
    <definedName name="Amort_Equipement">Hypotheses!$F$35</definedName>
    <definedName name="Amort_Installation">Hypotheses!$F$37</definedName>
    <definedName name="Amort_MMB">Hypotheses!$F$34</definedName>
    <definedName name="Amort_Vehicule">Hypotheses!$F$36</definedName>
    <definedName name="ChoixVerC">#REF!</definedName>
    <definedName name="Cot_sociales">#REF!</definedName>
    <definedName name="CountryList">#REF!</definedName>
    <definedName name="Cout_Projet">#REF!</definedName>
    <definedName name="CurrToggle">#REF!</definedName>
    <definedName name="DaysPayable">Cashflow!$F$17</definedName>
    <definedName name="DaysReceivable">Cashflow!$F$16</definedName>
    <definedName name="Delais_clients">Hypotheses!$F$28</definedName>
    <definedName name="Delais_Frs">Hypotheses!$F$29</definedName>
    <definedName name="Delais_Stocks">Hypotheses!$F$30</definedName>
    <definedName name="Inflation">Hypotheses!$F$24</definedName>
    <definedName name="InventoryTurnover">Cashflow!$F$18</definedName>
    <definedName name="jours_an">Hypotheses!$F$25</definedName>
    <definedName name="Prix1">#REF!</definedName>
    <definedName name="Prix2">#REF!</definedName>
    <definedName name="Prix3">#REF!</definedName>
    <definedName name="Taux_interet">Hypotheses!$F$23</definedName>
    <definedName name="Taux_IS">Hypotheses!$F$22</definedName>
    <definedName name="Volume1">#REF!</definedName>
    <definedName name="Volume2">#REF!</definedName>
    <definedName name="Volume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iuEq0VYtCsGySRnr1LVmXpbvc8lQ=="/>
    </ext>
  </extLst>
</workbook>
</file>

<file path=xl/calcChain.xml><?xml version="1.0" encoding="utf-8"?>
<calcChain xmlns="http://schemas.openxmlformats.org/spreadsheetml/2006/main">
  <c r="D47" i="14" l="1"/>
  <c r="D46" i="14"/>
  <c r="G6" i="12"/>
  <c r="E24" i="11"/>
  <c r="E23" i="11"/>
  <c r="E22" i="11"/>
  <c r="E20" i="11"/>
  <c r="E19" i="11"/>
  <c r="E18" i="11"/>
  <c r="E17" i="11"/>
  <c r="E14" i="11"/>
  <c r="E13" i="11"/>
  <c r="E12" i="11"/>
  <c r="F11" i="11"/>
  <c r="E11" i="11"/>
  <c r="E10" i="11"/>
  <c r="J9" i="11"/>
  <c r="E9" i="11"/>
  <c r="E8" i="11"/>
  <c r="F5" i="11"/>
  <c r="F94" i="11" s="1"/>
  <c r="E25" i="10"/>
  <c r="E24" i="10"/>
  <c r="E23" i="10"/>
  <c r="J22" i="10"/>
  <c r="I22" i="10"/>
  <c r="H22" i="10"/>
  <c r="G22" i="10"/>
  <c r="E22" i="10"/>
  <c r="F21" i="10"/>
  <c r="E21" i="10"/>
  <c r="I20" i="10"/>
  <c r="F20" i="10"/>
  <c r="E20" i="10"/>
  <c r="F19" i="10"/>
  <c r="E19" i="10"/>
  <c r="F18" i="10"/>
  <c r="E18" i="10"/>
  <c r="F17" i="10"/>
  <c r="E17" i="10"/>
  <c r="E16" i="10"/>
  <c r="E15" i="10"/>
  <c r="E14" i="10"/>
  <c r="E13" i="10"/>
  <c r="E12" i="10"/>
  <c r="E9" i="10"/>
  <c r="H27" i="9"/>
  <c r="G27" i="9"/>
  <c r="F27" i="9"/>
  <c r="E27" i="9"/>
  <c r="D27" i="9"/>
  <c r="J16" i="8"/>
  <c r="G15" i="8"/>
  <c r="D16" i="8" s="1"/>
  <c r="E16" i="8" s="1"/>
  <c r="B11" i="8"/>
  <c r="B9" i="8"/>
  <c r="B6" i="8"/>
  <c r="B5" i="8"/>
  <c r="A74" i="7"/>
  <c r="A75" i="7" s="1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J16" i="7"/>
  <c r="B11" i="7"/>
  <c r="B5" i="7"/>
  <c r="B9" i="7" s="1"/>
  <c r="J48" i="6"/>
  <c r="H48" i="6"/>
  <c r="E48" i="6"/>
  <c r="J47" i="6"/>
  <c r="H47" i="6"/>
  <c r="E47" i="6"/>
  <c r="D47" i="6"/>
  <c r="G47" i="6" s="1"/>
  <c r="H46" i="6"/>
  <c r="E46" i="6"/>
  <c r="E45" i="6"/>
  <c r="E44" i="6"/>
  <c r="J43" i="6"/>
  <c r="H43" i="6"/>
  <c r="E43" i="6"/>
  <c r="D43" i="6"/>
  <c r="G43" i="6" s="1"/>
  <c r="G40" i="6"/>
  <c r="G29" i="6"/>
  <c r="D48" i="6" s="1"/>
  <c r="G28" i="6"/>
  <c r="G27" i="6"/>
  <c r="D46" i="6" s="1"/>
  <c r="G26" i="6"/>
  <c r="G25" i="6"/>
  <c r="G20" i="6"/>
  <c r="G19" i="6"/>
  <c r="G18" i="6"/>
  <c r="G17" i="6"/>
  <c r="G16" i="6"/>
  <c r="G15" i="6"/>
  <c r="G12" i="6"/>
  <c r="G11" i="6"/>
  <c r="G10" i="6"/>
  <c r="G9" i="6"/>
  <c r="G7" i="6"/>
  <c r="G5" i="6"/>
  <c r="E56" i="5"/>
  <c r="E55" i="5"/>
  <c r="E54" i="5"/>
  <c r="E53" i="5"/>
  <c r="E52" i="5"/>
  <c r="E48" i="5"/>
  <c r="H47" i="5"/>
  <c r="G47" i="5"/>
  <c r="G21" i="10" s="1"/>
  <c r="E47" i="5"/>
  <c r="D47" i="5"/>
  <c r="D21" i="10" s="1"/>
  <c r="I46" i="5"/>
  <c r="J46" i="5" s="1"/>
  <c r="J20" i="10" s="1"/>
  <c r="H46" i="5"/>
  <c r="H20" i="10" s="1"/>
  <c r="G46" i="5"/>
  <c r="G20" i="10" s="1"/>
  <c r="E46" i="5"/>
  <c r="D46" i="5"/>
  <c r="D20" i="10" s="1"/>
  <c r="G45" i="5"/>
  <c r="G19" i="10" s="1"/>
  <c r="D45" i="5"/>
  <c r="D19" i="10" s="1"/>
  <c r="G44" i="5"/>
  <c r="E44" i="5"/>
  <c r="D44" i="5"/>
  <c r="D18" i="10" s="1"/>
  <c r="G43" i="5"/>
  <c r="E43" i="5"/>
  <c r="D43" i="5"/>
  <c r="D17" i="10" s="1"/>
  <c r="H42" i="5"/>
  <c r="I42" i="5" s="1"/>
  <c r="J42" i="5" s="1"/>
  <c r="G42" i="5"/>
  <c r="E42" i="5"/>
  <c r="D42" i="5"/>
  <c r="I41" i="5"/>
  <c r="J41" i="5" s="1"/>
  <c r="H41" i="5"/>
  <c r="G41" i="5"/>
  <c r="E41" i="5"/>
  <c r="D41" i="5"/>
  <c r="I40" i="5"/>
  <c r="J40" i="5" s="1"/>
  <c r="G40" i="5"/>
  <c r="H40" i="5" s="1"/>
  <c r="E40" i="5"/>
  <c r="D40" i="5"/>
  <c r="G39" i="5"/>
  <c r="H39" i="5" s="1"/>
  <c r="I39" i="5" s="1"/>
  <c r="J39" i="5" s="1"/>
  <c r="E39" i="5"/>
  <c r="D39" i="5"/>
  <c r="H38" i="5"/>
  <c r="I38" i="5" s="1"/>
  <c r="J38" i="5" s="1"/>
  <c r="G38" i="5"/>
  <c r="E38" i="5"/>
  <c r="D38" i="5"/>
  <c r="I37" i="5"/>
  <c r="J37" i="5" s="1"/>
  <c r="H37" i="5"/>
  <c r="G37" i="5"/>
  <c r="E37" i="5"/>
  <c r="D37" i="5"/>
  <c r="E36" i="5"/>
  <c r="D36" i="5"/>
  <c r="H35" i="5"/>
  <c r="I35" i="5" s="1"/>
  <c r="J35" i="5" s="1"/>
  <c r="F35" i="5"/>
  <c r="G35" i="5" s="1"/>
  <c r="E35" i="5"/>
  <c r="D35" i="5"/>
  <c r="E34" i="5"/>
  <c r="D34" i="5"/>
  <c r="E33" i="5"/>
  <c r="D33" i="5"/>
  <c r="D16" i="10" s="1"/>
  <c r="E32" i="5"/>
  <c r="I31" i="5"/>
  <c r="J31" i="5" s="1"/>
  <c r="F31" i="5"/>
  <c r="G31" i="5" s="1"/>
  <c r="H31" i="5" s="1"/>
  <c r="E31" i="5"/>
  <c r="E30" i="5"/>
  <c r="E29" i="5"/>
  <c r="E28" i="5"/>
  <c r="E27" i="5"/>
  <c r="E26" i="5"/>
  <c r="D26" i="5"/>
  <c r="D15" i="10" s="1"/>
  <c r="E25" i="5"/>
  <c r="D25" i="5"/>
  <c r="D14" i="10" s="1"/>
  <c r="E24" i="5"/>
  <c r="E23" i="5"/>
  <c r="H22" i="5"/>
  <c r="I22" i="5" s="1"/>
  <c r="J22" i="5" s="1"/>
  <c r="F22" i="5"/>
  <c r="G22" i="5" s="1"/>
  <c r="D22" i="5"/>
  <c r="F21" i="5"/>
  <c r="D21" i="5"/>
  <c r="E20" i="5"/>
  <c r="F19" i="5"/>
  <c r="G19" i="5" s="1"/>
  <c r="H19" i="5" s="1"/>
  <c r="I19" i="5" s="1"/>
  <c r="J19" i="5" s="1"/>
  <c r="D19" i="5"/>
  <c r="D18" i="5"/>
  <c r="E17" i="5"/>
  <c r="I16" i="5"/>
  <c r="J16" i="5" s="1"/>
  <c r="F16" i="5"/>
  <c r="G16" i="5" s="1"/>
  <c r="H16" i="5" s="1"/>
  <c r="D16" i="5"/>
  <c r="G15" i="5"/>
  <c r="F15" i="5"/>
  <c r="D15" i="5"/>
  <c r="E14" i="5"/>
  <c r="I13" i="5"/>
  <c r="J13" i="5" s="1"/>
  <c r="G13" i="5"/>
  <c r="H13" i="5" s="1"/>
  <c r="F13" i="5"/>
  <c r="D13" i="5"/>
  <c r="G12" i="5"/>
  <c r="F12" i="5"/>
  <c r="F11" i="5" s="1"/>
  <c r="D12" i="5"/>
  <c r="E11" i="5"/>
  <c r="G10" i="5"/>
  <c r="F10" i="5"/>
  <c r="D10" i="5"/>
  <c r="H9" i="5"/>
  <c r="G9" i="5"/>
  <c r="F9" i="5"/>
  <c r="D9" i="5"/>
  <c r="F8" i="5"/>
  <c r="E8" i="5"/>
  <c r="F5" i="5"/>
  <c r="B60" i="4"/>
  <c r="F36" i="5" s="1"/>
  <c r="G36" i="5" s="1"/>
  <c r="H36" i="5" s="1"/>
  <c r="I36" i="5" s="1"/>
  <c r="J36" i="5" s="1"/>
  <c r="B40" i="4"/>
  <c r="F34" i="5" s="1"/>
  <c r="F33" i="5" s="1"/>
  <c r="F16" i="10" s="1"/>
  <c r="H19" i="4"/>
  <c r="F25" i="5" s="1"/>
  <c r="B19" i="4"/>
  <c r="H18" i="4"/>
  <c r="H17" i="4"/>
  <c r="H16" i="4"/>
  <c r="H15" i="4"/>
  <c r="H14" i="4"/>
  <c r="H13" i="4"/>
  <c r="H12" i="4"/>
  <c r="H11" i="4"/>
  <c r="H10" i="4"/>
  <c r="H9" i="4"/>
  <c r="H8" i="4"/>
  <c r="H7" i="4"/>
  <c r="D92" i="3"/>
  <c r="D31" i="5" s="1"/>
  <c r="D91" i="3"/>
  <c r="D30" i="5" s="1"/>
  <c r="D90" i="3"/>
  <c r="I50" i="3" s="1"/>
  <c r="D89" i="3"/>
  <c r="D28" i="5" s="1"/>
  <c r="D88" i="3"/>
  <c r="D27" i="5" s="1"/>
  <c r="D83" i="3"/>
  <c r="D82" i="3"/>
  <c r="D81" i="3"/>
  <c r="D20" i="5" s="1"/>
  <c r="D80" i="3"/>
  <c r="D79" i="3"/>
  <c r="D78" i="3"/>
  <c r="D17" i="5" s="1"/>
  <c r="D77" i="3"/>
  <c r="D76" i="3"/>
  <c r="D75" i="3"/>
  <c r="D14" i="5" s="1"/>
  <c r="D74" i="3"/>
  <c r="D73" i="3"/>
  <c r="D72" i="3"/>
  <c r="D11" i="5" s="1"/>
  <c r="D71" i="3"/>
  <c r="D70" i="3"/>
  <c r="D69" i="3"/>
  <c r="D8" i="5" s="1"/>
  <c r="G60" i="3"/>
  <c r="D59" i="3"/>
  <c r="G57" i="3"/>
  <c r="F18" i="5" s="1"/>
  <c r="D56" i="3"/>
  <c r="D53" i="3"/>
  <c r="L52" i="3"/>
  <c r="I52" i="3"/>
  <c r="L51" i="3"/>
  <c r="F30" i="5" s="1"/>
  <c r="G30" i="5" s="1"/>
  <c r="H30" i="5" s="1"/>
  <c r="I30" i="5" s="1"/>
  <c r="J30" i="5" s="1"/>
  <c r="I51" i="3"/>
  <c r="L50" i="3"/>
  <c r="F29" i="5" s="1"/>
  <c r="G29" i="5" s="1"/>
  <c r="H29" i="5" s="1"/>
  <c r="I29" i="5" s="1"/>
  <c r="J29" i="5" s="1"/>
  <c r="D50" i="3"/>
  <c r="L49" i="3"/>
  <c r="F28" i="5" s="1"/>
  <c r="G28" i="5" s="1"/>
  <c r="H28" i="5" s="1"/>
  <c r="I28" i="5" s="1"/>
  <c r="J28" i="5" s="1"/>
  <c r="I49" i="3"/>
  <c r="L48" i="3"/>
  <c r="I48" i="3"/>
  <c r="K47" i="3"/>
  <c r="J47" i="3"/>
  <c r="I47" i="3"/>
  <c r="D47" i="3"/>
  <c r="G24" i="3"/>
  <c r="G22" i="3"/>
  <c r="I5" i="3"/>
  <c r="H5" i="3"/>
  <c r="F55" i="1"/>
  <c r="G55" i="1" s="1"/>
  <c r="H5" i="11" l="1"/>
  <c r="H94" i="11" s="1"/>
  <c r="L16" i="7"/>
  <c r="J5" i="3"/>
  <c r="G17" i="10"/>
  <c r="H43" i="5"/>
  <c r="H21" i="10"/>
  <c r="I47" i="5"/>
  <c r="D44" i="6"/>
  <c r="I9" i="5"/>
  <c r="F20" i="5"/>
  <c r="G21" i="5"/>
  <c r="D29" i="5"/>
  <c r="G21" i="6"/>
  <c r="D45" i="6" s="1"/>
  <c r="G46" i="6"/>
  <c r="F46" i="6"/>
  <c r="K46" i="6"/>
  <c r="I46" i="6"/>
  <c r="D10" i="9"/>
  <c r="D33" i="9" s="1"/>
  <c r="F14" i="10"/>
  <c r="G25" i="5"/>
  <c r="L47" i="3"/>
  <c r="F27" i="5"/>
  <c r="G11" i="5"/>
  <c r="H12" i="5"/>
  <c r="G34" i="5"/>
  <c r="G18" i="10"/>
  <c r="H44" i="5"/>
  <c r="G48" i="6"/>
  <c r="F48" i="6"/>
  <c r="K48" i="6"/>
  <c r="I48" i="6"/>
  <c r="J46" i="6"/>
  <c r="F5" i="10"/>
  <c r="D6" i="9"/>
  <c r="H10" i="5"/>
  <c r="I10" i="5" s="1"/>
  <c r="J10" i="5" s="1"/>
  <c r="G8" i="5"/>
  <c r="F14" i="5"/>
  <c r="I40" i="6"/>
  <c r="H8" i="5"/>
  <c r="F17" i="5"/>
  <c r="G17" i="5" s="1"/>
  <c r="F7" i="5"/>
  <c r="B14" i="12" s="1"/>
  <c r="H5" i="5"/>
  <c r="G14" i="5"/>
  <c r="H15" i="5"/>
  <c r="G18" i="5"/>
  <c r="G30" i="6"/>
  <c r="B2" i="7" s="1"/>
  <c r="D42" i="6"/>
  <c r="F32" i="8"/>
  <c r="F24" i="8"/>
  <c r="F18" i="8"/>
  <c r="F36" i="8"/>
  <c r="F28" i="8"/>
  <c r="F20" i="8"/>
  <c r="F38" i="8"/>
  <c r="F23" i="8"/>
  <c r="F21" i="8"/>
  <c r="F16" i="8"/>
  <c r="F27" i="8"/>
  <c r="F25" i="8"/>
  <c r="F31" i="8"/>
  <c r="F29" i="8"/>
  <c r="F17" i="8"/>
  <c r="F35" i="8"/>
  <c r="F33" i="8"/>
  <c r="F26" i="8"/>
  <c r="F22" i="8"/>
  <c r="F34" i="8"/>
  <c r="F39" i="8"/>
  <c r="G5" i="11"/>
  <c r="G94" i="11" s="1"/>
  <c r="K16" i="8"/>
  <c r="G5" i="5"/>
  <c r="I43" i="6"/>
  <c r="I47" i="6"/>
  <c r="K43" i="6"/>
  <c r="K47" i="6"/>
  <c r="B12" i="8"/>
  <c r="F19" i="8"/>
  <c r="F30" i="8"/>
  <c r="F37" i="8"/>
  <c r="H45" i="5"/>
  <c r="F43" i="6"/>
  <c r="F47" i="6"/>
  <c r="K16" i="7"/>
  <c r="H40" i="6"/>
  <c r="G15" i="7" l="1"/>
  <c r="G45" i="14"/>
  <c r="F12" i="11"/>
  <c r="F17" i="11" s="1"/>
  <c r="F11" i="10"/>
  <c r="B6" i="7"/>
  <c r="I21" i="10"/>
  <c r="J47" i="5"/>
  <c r="J21" i="10" s="1"/>
  <c r="G5" i="10"/>
  <c r="E6" i="9"/>
  <c r="F23" i="5"/>
  <c r="H34" i="5"/>
  <c r="G33" i="5"/>
  <c r="G16" i="10" s="1"/>
  <c r="H21" i="5"/>
  <c r="G20" i="5"/>
  <c r="H17" i="10"/>
  <c r="I43" i="5"/>
  <c r="H18" i="5"/>
  <c r="G7" i="5"/>
  <c r="I8" i="5"/>
  <c r="J9" i="5"/>
  <c r="I15" i="5"/>
  <c r="H14" i="5"/>
  <c r="G23" i="5"/>
  <c r="G27" i="5"/>
  <c r="F26" i="5"/>
  <c r="I12" i="5"/>
  <c r="H11" i="5"/>
  <c r="I5" i="11"/>
  <c r="I94" i="11" s="1"/>
  <c r="I5" i="5"/>
  <c r="J40" i="6"/>
  <c r="M16" i="7"/>
  <c r="K5" i="3"/>
  <c r="H19" i="10"/>
  <c r="I45" i="5"/>
  <c r="K49" i="6"/>
  <c r="J50" i="5" s="1"/>
  <c r="J49" i="5" s="1"/>
  <c r="F41" i="8"/>
  <c r="C16" i="8"/>
  <c r="H5" i="10"/>
  <c r="F6" i="9"/>
  <c r="G2" i="14"/>
  <c r="G3" i="14" s="1"/>
  <c r="D29" i="9"/>
  <c r="G44" i="6"/>
  <c r="G49" i="6" s="1"/>
  <c r="F50" i="5" s="1"/>
  <c r="F49" i="5" s="1"/>
  <c r="D13" i="9" s="1"/>
  <c r="D36" i="9" s="1"/>
  <c r="F44" i="6"/>
  <c r="K44" i="6"/>
  <c r="I44" i="6"/>
  <c r="J44" i="6"/>
  <c r="H44" i="6"/>
  <c r="H49" i="6" s="1"/>
  <c r="G50" i="5" s="1"/>
  <c r="G49" i="5" s="1"/>
  <c r="I49" i="6"/>
  <c r="H50" i="5" s="1"/>
  <c r="H49" i="5" s="1"/>
  <c r="H18" i="10"/>
  <c r="I44" i="5"/>
  <c r="E10" i="9"/>
  <c r="E33" i="9" s="1"/>
  <c r="G14" i="10"/>
  <c r="H25" i="5"/>
  <c r="G45" i="6"/>
  <c r="F45" i="6"/>
  <c r="K45" i="6"/>
  <c r="I45" i="6"/>
  <c r="H45" i="6"/>
  <c r="J45" i="6"/>
  <c r="G8" i="14"/>
  <c r="G6" i="9" l="1"/>
  <c r="I5" i="10"/>
  <c r="H27" i="5"/>
  <c r="G26" i="5"/>
  <c r="J8" i="5"/>
  <c r="I17" i="10"/>
  <c r="J43" i="5"/>
  <c r="J17" i="10" s="1"/>
  <c r="E9" i="9"/>
  <c r="G30" i="11"/>
  <c r="G10" i="10"/>
  <c r="C6" i="12"/>
  <c r="J6" i="12" s="1"/>
  <c r="F61" i="7"/>
  <c r="F57" i="7"/>
  <c r="F49" i="7"/>
  <c r="F41" i="7"/>
  <c r="F33" i="7"/>
  <c r="F25" i="7"/>
  <c r="F65" i="7"/>
  <c r="F62" i="7"/>
  <c r="F52" i="7"/>
  <c r="F44" i="7"/>
  <c r="F36" i="7"/>
  <c r="F28" i="7"/>
  <c r="F20" i="7"/>
  <c r="F74" i="7"/>
  <c r="F71" i="7"/>
  <c r="F68" i="7"/>
  <c r="F60" i="7"/>
  <c r="F55" i="7"/>
  <c r="F47" i="7"/>
  <c r="F39" i="7"/>
  <c r="F31" i="7"/>
  <c r="F23" i="7"/>
  <c r="F58" i="7"/>
  <c r="F50" i="7"/>
  <c r="F42" i="7"/>
  <c r="F34" i="7"/>
  <c r="F26" i="7"/>
  <c r="F75" i="7"/>
  <c r="F72" i="7"/>
  <c r="F56" i="7"/>
  <c r="F48" i="7"/>
  <c r="F40" i="7"/>
  <c r="F32" i="7"/>
  <c r="F24" i="7"/>
  <c r="F64" i="7"/>
  <c r="F59" i="7"/>
  <c r="F38" i="7"/>
  <c r="F29" i="7"/>
  <c r="F18" i="7"/>
  <c r="F63" i="7"/>
  <c r="F46" i="7"/>
  <c r="F37" i="7"/>
  <c r="B12" i="7"/>
  <c r="F67" i="7"/>
  <c r="F54" i="7"/>
  <c r="F45" i="7"/>
  <c r="F17" i="7"/>
  <c r="F66" i="7"/>
  <c r="F53" i="7"/>
  <c r="F19" i="7"/>
  <c r="F70" i="7"/>
  <c r="F27" i="7"/>
  <c r="F16" i="7"/>
  <c r="F73" i="7"/>
  <c r="F43" i="7"/>
  <c r="F22" i="7"/>
  <c r="F51" i="7"/>
  <c r="F30" i="7"/>
  <c r="F21" i="7"/>
  <c r="F35" i="7"/>
  <c r="F69" i="7"/>
  <c r="I2" i="14"/>
  <c r="I3" i="14" s="1"/>
  <c r="F29" i="9"/>
  <c r="I19" i="10"/>
  <c r="J45" i="5"/>
  <c r="J19" i="10" s="1"/>
  <c r="J49" i="6"/>
  <c r="I50" i="5" s="1"/>
  <c r="I49" i="5" s="1"/>
  <c r="I14" i="5"/>
  <c r="J15" i="5"/>
  <c r="J14" i="5" s="1"/>
  <c r="C14" i="12"/>
  <c r="G6" i="5"/>
  <c r="H20" i="5"/>
  <c r="I21" i="5"/>
  <c r="H2" i="14"/>
  <c r="H3" i="14" s="1"/>
  <c r="E29" i="9"/>
  <c r="F22" i="10"/>
  <c r="H14" i="10"/>
  <c r="I25" i="5"/>
  <c r="F10" i="9"/>
  <c r="F33" i="9" s="1"/>
  <c r="F9" i="11"/>
  <c r="E13" i="9"/>
  <c r="E36" i="9" s="1"/>
  <c r="H17" i="5"/>
  <c r="H23" i="5" s="1"/>
  <c r="I18" i="5"/>
  <c r="G9" i="11"/>
  <c r="F13" i="9"/>
  <c r="F36" i="9" s="1"/>
  <c r="D11" i="9"/>
  <c r="D34" i="9" s="1"/>
  <c r="F15" i="10"/>
  <c r="F31" i="11"/>
  <c r="F32" i="11"/>
  <c r="F33" i="11" s="1"/>
  <c r="F34" i="11" s="1"/>
  <c r="G7" i="14" s="1"/>
  <c r="F24" i="5"/>
  <c r="G24" i="5" s="1"/>
  <c r="H24" i="5" s="1"/>
  <c r="I24" i="5" s="1"/>
  <c r="J24" i="5" s="1"/>
  <c r="I9" i="11"/>
  <c r="H13" i="9"/>
  <c r="H36" i="9" s="1"/>
  <c r="I18" i="10"/>
  <c r="J44" i="5"/>
  <c r="J18" i="10" s="1"/>
  <c r="G16" i="8"/>
  <c r="J5" i="11"/>
  <c r="J94" i="11" s="1"/>
  <c r="J5" i="5"/>
  <c r="N16" i="7"/>
  <c r="K40" i="6"/>
  <c r="I34" i="5"/>
  <c r="H33" i="5"/>
  <c r="H16" i="10" s="1"/>
  <c r="D16" i="7"/>
  <c r="I11" i="5"/>
  <c r="J12" i="5"/>
  <c r="J11" i="5" s="1"/>
  <c r="B6" i="12"/>
  <c r="F10" i="10"/>
  <c r="F12" i="10" s="1"/>
  <c r="F30" i="11"/>
  <c r="D9" i="9"/>
  <c r="F32" i="5"/>
  <c r="F48" i="5" s="1"/>
  <c r="F52" i="5" s="1"/>
  <c r="H7" i="5"/>
  <c r="H9" i="11" l="1"/>
  <c r="G13" i="9"/>
  <c r="G36" i="9" s="1"/>
  <c r="H10" i="10"/>
  <c r="F9" i="9"/>
  <c r="H30" i="11"/>
  <c r="D6" i="12"/>
  <c r="K6" i="12" s="1"/>
  <c r="H32" i="5"/>
  <c r="H48" i="5" s="1"/>
  <c r="H52" i="5" s="1"/>
  <c r="D12" i="9"/>
  <c r="D32" i="9"/>
  <c r="D35" i="9" s="1"/>
  <c r="D37" i="9" s="1"/>
  <c r="J34" i="5"/>
  <c r="J33" i="5" s="1"/>
  <c r="J16" i="10" s="1"/>
  <c r="I33" i="5"/>
  <c r="I16" i="10" s="1"/>
  <c r="G31" i="11"/>
  <c r="G32" i="11"/>
  <c r="G15" i="10"/>
  <c r="E11" i="9"/>
  <c r="E34" i="9" s="1"/>
  <c r="I20" i="5"/>
  <c r="J21" i="5"/>
  <c r="J20" i="5" s="1"/>
  <c r="G32" i="5"/>
  <c r="G48" i="5" s="1"/>
  <c r="G52" i="5" s="1"/>
  <c r="I27" i="5"/>
  <c r="H26" i="5"/>
  <c r="B7" i="12"/>
  <c r="D17" i="8"/>
  <c r="I14" i="10"/>
  <c r="J25" i="5"/>
  <c r="G10" i="9"/>
  <c r="G33" i="9" s="1"/>
  <c r="F78" i="7"/>
  <c r="J5" i="10"/>
  <c r="H6" i="9"/>
  <c r="E12" i="9"/>
  <c r="E32" i="9"/>
  <c r="E35" i="9" s="1"/>
  <c r="E37" i="9" s="1"/>
  <c r="G29" i="9"/>
  <c r="J2" i="14"/>
  <c r="J3" i="14" s="1"/>
  <c r="E16" i="7"/>
  <c r="C16" i="7" s="1"/>
  <c r="D14" i="12"/>
  <c r="H6" i="5"/>
  <c r="I17" i="5"/>
  <c r="I23" i="5" s="1"/>
  <c r="J18" i="5"/>
  <c r="J17" i="5" s="1"/>
  <c r="J23" i="5" s="1"/>
  <c r="I7" i="5"/>
  <c r="F6" i="12" l="1"/>
  <c r="H9" i="9"/>
  <c r="J30" i="11"/>
  <c r="J10" i="10"/>
  <c r="J32" i="5"/>
  <c r="J48" i="5" s="1"/>
  <c r="J52" i="5" s="1"/>
  <c r="G16" i="7"/>
  <c r="D7" i="12"/>
  <c r="K2" i="14"/>
  <c r="K3" i="14" s="1"/>
  <c r="H29" i="9"/>
  <c r="G33" i="11"/>
  <c r="G34" i="11" s="1"/>
  <c r="H7" i="14" s="1"/>
  <c r="G9" i="14"/>
  <c r="G6" i="14"/>
  <c r="D14" i="9"/>
  <c r="C7" i="12"/>
  <c r="J7" i="12" s="1"/>
  <c r="E14" i="12"/>
  <c r="I6" i="5"/>
  <c r="F32" i="9"/>
  <c r="J27" i="5"/>
  <c r="J26" i="5" s="1"/>
  <c r="I26" i="5"/>
  <c r="E17" i="8"/>
  <c r="C17" i="8"/>
  <c r="E6" i="12"/>
  <c r="L6" i="12" s="1"/>
  <c r="I30" i="11"/>
  <c r="G9" i="9"/>
  <c r="I32" i="5"/>
  <c r="I48" i="5" s="1"/>
  <c r="I52" i="5" s="1"/>
  <c r="I10" i="10"/>
  <c r="J7" i="5"/>
  <c r="H31" i="11"/>
  <c r="F11" i="9"/>
  <c r="F34" i="9" s="1"/>
  <c r="H32" i="11"/>
  <c r="H33" i="11" s="1"/>
  <c r="H34" i="11" s="1"/>
  <c r="I7" i="14" s="1"/>
  <c r="H15" i="10"/>
  <c r="E14" i="9"/>
  <c r="H9" i="14"/>
  <c r="H6" i="14"/>
  <c r="J14" i="10"/>
  <c r="H10" i="9"/>
  <c r="H33" i="9" s="1"/>
  <c r="F35" i="9" l="1"/>
  <c r="F37" i="9" s="1"/>
  <c r="G10" i="14"/>
  <c r="G33" i="14"/>
  <c r="D17" i="7"/>
  <c r="F12" i="9"/>
  <c r="F14" i="12"/>
  <c r="J6" i="5"/>
  <c r="F7" i="12"/>
  <c r="G17" i="8"/>
  <c r="H33" i="14"/>
  <c r="H10" i="14"/>
  <c r="E7" i="12"/>
  <c r="L7" i="12" s="1"/>
  <c r="I31" i="11"/>
  <c r="G11" i="9"/>
  <c r="G34" i="9" s="1"/>
  <c r="I15" i="10"/>
  <c r="I32" i="11"/>
  <c r="I33" i="11" s="1"/>
  <c r="I34" i="11" s="1"/>
  <c r="J7" i="14" s="1"/>
  <c r="H32" i="9"/>
  <c r="G32" i="9"/>
  <c r="G35" i="9" s="1"/>
  <c r="G37" i="9" s="1"/>
  <c r="J32" i="11"/>
  <c r="J33" i="11" s="1"/>
  <c r="J34" i="11" s="1"/>
  <c r="K7" i="14" s="1"/>
  <c r="J15" i="10"/>
  <c r="H11" i="9"/>
  <c r="H34" i="9" s="1"/>
  <c r="J31" i="11"/>
  <c r="K7" i="12"/>
  <c r="M6" i="12"/>
  <c r="H35" i="9" l="1"/>
  <c r="H37" i="9" s="1"/>
  <c r="D18" i="8"/>
  <c r="E17" i="7"/>
  <c r="C17" i="7"/>
  <c r="I9" i="14"/>
  <c r="F14" i="9"/>
  <c r="I6" i="14"/>
  <c r="G12" i="9"/>
  <c r="M7" i="12"/>
  <c r="G26" i="14"/>
  <c r="H26" i="14" s="1"/>
  <c r="H12" i="9"/>
  <c r="I33" i="14" l="1"/>
  <c r="I10" i="14"/>
  <c r="J9" i="14"/>
  <c r="J6" i="14"/>
  <c r="G14" i="9"/>
  <c r="K9" i="14"/>
  <c r="K6" i="14"/>
  <c r="H14" i="9"/>
  <c r="E18" i="8"/>
  <c r="C18" i="8" s="1"/>
  <c r="G17" i="7"/>
  <c r="I26" i="14"/>
  <c r="G18" i="8" l="1"/>
  <c r="J10" i="14"/>
  <c r="J33" i="14"/>
  <c r="F27" i="14"/>
  <c r="D18" i="7"/>
  <c r="K33" i="14"/>
  <c r="K10" i="14"/>
  <c r="E18" i="7" l="1"/>
  <c r="C18" i="7"/>
  <c r="F13" i="14"/>
  <c r="D19" i="8"/>
  <c r="J26" i="14"/>
  <c r="K26" i="14" s="1"/>
  <c r="G18" i="7" l="1"/>
  <c r="E19" i="8"/>
  <c r="C19" i="8" s="1"/>
  <c r="G19" i="8" l="1"/>
  <c r="D19" i="7"/>
  <c r="E19" i="7" l="1"/>
  <c r="C19" i="7"/>
  <c r="D20" i="8"/>
  <c r="E20" i="8" l="1"/>
  <c r="C20" i="8"/>
  <c r="G19" i="7"/>
  <c r="D20" i="7" l="1"/>
  <c r="G20" i="8"/>
  <c r="D21" i="8" l="1"/>
  <c r="E20" i="7"/>
  <c r="C20" i="7"/>
  <c r="G20" i="7" l="1"/>
  <c r="E21" i="8"/>
  <c r="C21" i="8"/>
  <c r="G21" i="8" s="1"/>
  <c r="D21" i="7" l="1"/>
  <c r="D22" i="8"/>
  <c r="E22" i="8" l="1"/>
  <c r="C22" i="8"/>
  <c r="G22" i="8" s="1"/>
  <c r="E21" i="7"/>
  <c r="C21" i="7" s="1"/>
  <c r="G21" i="7" s="1"/>
  <c r="D22" i="7" l="1"/>
  <c r="D23" i="8"/>
  <c r="E23" i="8" l="1"/>
  <c r="C23" i="8" s="1"/>
  <c r="G23" i="8" s="1"/>
  <c r="E22" i="7"/>
  <c r="C22" i="7" s="1"/>
  <c r="G22" i="7" s="1"/>
  <c r="D23" i="7" l="1"/>
  <c r="D24" i="8"/>
  <c r="E23" i="7" l="1"/>
  <c r="C23" i="7" s="1"/>
  <c r="G23" i="7" s="1"/>
  <c r="E24" i="8"/>
  <c r="C24" i="8"/>
  <c r="G24" i="8" s="1"/>
  <c r="D24" i="7" l="1"/>
  <c r="D25" i="8"/>
  <c r="E24" i="7" l="1"/>
  <c r="C24" i="7"/>
  <c r="G24" i="7" s="1"/>
  <c r="E25" i="8"/>
  <c r="C25" i="8" s="1"/>
  <c r="G25" i="8" s="1"/>
  <c r="D26" i="8" l="1"/>
  <c r="D25" i="7"/>
  <c r="E25" i="7" l="1"/>
  <c r="C25" i="7"/>
  <c r="G25" i="7" s="1"/>
  <c r="E26" i="8"/>
  <c r="C26" i="8"/>
  <c r="G26" i="8" s="1"/>
  <c r="D26" i="7" l="1"/>
  <c r="D27" i="8"/>
  <c r="E27" i="8" l="1"/>
  <c r="C27" i="8"/>
  <c r="J18" i="8"/>
  <c r="E26" i="7"/>
  <c r="C26" i="7"/>
  <c r="G26" i="7" s="1"/>
  <c r="D27" i="7" l="1"/>
  <c r="J17" i="8"/>
  <c r="G27" i="8"/>
  <c r="D28" i="8" l="1"/>
  <c r="E27" i="7"/>
  <c r="C27" i="7" s="1"/>
  <c r="J18" i="7"/>
  <c r="J17" i="7" l="1"/>
  <c r="G27" i="7"/>
  <c r="G46" i="14"/>
  <c r="G34" i="14"/>
  <c r="E28" i="8"/>
  <c r="C28" i="8" s="1"/>
  <c r="G28" i="8" l="1"/>
  <c r="G36" i="14"/>
  <c r="G38" i="14" s="1"/>
  <c r="D28" i="7"/>
  <c r="G47" i="14"/>
  <c r="G48" i="14" s="1"/>
  <c r="F23" i="10"/>
  <c r="G35" i="14"/>
  <c r="F53" i="5"/>
  <c r="E28" i="7" l="1"/>
  <c r="C28" i="7"/>
  <c r="D15" i="9"/>
  <c r="F54" i="5"/>
  <c r="D29" i="8"/>
  <c r="F18" i="11"/>
  <c r="F20" i="11" s="1"/>
  <c r="B22" i="12" s="1"/>
  <c r="F24" i="10"/>
  <c r="F25" i="10" s="1"/>
  <c r="G7" i="10" s="1"/>
  <c r="G12" i="10" s="1"/>
  <c r="B8" i="12" l="1"/>
  <c r="F55" i="5"/>
  <c r="F56" i="5" s="1"/>
  <c r="G28" i="7"/>
  <c r="E29" i="8"/>
  <c r="C29" i="8"/>
  <c r="D38" i="9"/>
  <c r="D39" i="9" s="1"/>
  <c r="D16" i="9"/>
  <c r="B9" i="12" l="1"/>
  <c r="F8" i="11"/>
  <c r="F10" i="11" s="1"/>
  <c r="G29" i="8"/>
  <c r="D29" i="7"/>
  <c r="D18" i="9"/>
  <c r="G11" i="14"/>
  <c r="D17" i="9"/>
  <c r="E29" i="7" l="1"/>
  <c r="C29" i="7"/>
  <c r="D30" i="8"/>
  <c r="F14" i="11"/>
  <c r="B20" i="12"/>
  <c r="G16" i="14"/>
  <c r="G17" i="14" s="1"/>
  <c r="D40" i="9"/>
  <c r="D41" i="9" s="1"/>
  <c r="E30" i="8" l="1"/>
  <c r="C30" i="8"/>
  <c r="F22" i="11"/>
  <c r="B21" i="12"/>
  <c r="G29" i="7"/>
  <c r="F95" i="11" l="1"/>
  <c r="F24" i="11"/>
  <c r="B23" i="12"/>
  <c r="D30" i="7"/>
  <c r="G30" i="8"/>
  <c r="D31" i="8" l="1"/>
  <c r="E30" i="7"/>
  <c r="C30" i="7"/>
  <c r="G23" i="11"/>
  <c r="B24" i="12"/>
  <c r="G30" i="7" l="1"/>
  <c r="E31" i="8"/>
  <c r="C31" i="8"/>
  <c r="G31" i="8" l="1"/>
  <c r="D31" i="7"/>
  <c r="D32" i="8" l="1"/>
  <c r="E31" i="7"/>
  <c r="C31" i="7"/>
  <c r="G31" i="7" l="1"/>
  <c r="E32" i="8"/>
  <c r="C32" i="8"/>
  <c r="G32" i="8" l="1"/>
  <c r="D32" i="7"/>
  <c r="E32" i="7" l="1"/>
  <c r="C32" i="7" s="1"/>
  <c r="D33" i="8"/>
  <c r="G32" i="7" l="1"/>
  <c r="E33" i="8"/>
  <c r="C33" i="8" s="1"/>
  <c r="G33" i="8" s="1"/>
  <c r="D34" i="8" l="1"/>
  <c r="D33" i="7"/>
  <c r="E33" i="7" l="1"/>
  <c r="C33" i="7"/>
  <c r="G33" i="7" s="1"/>
  <c r="E34" i="8"/>
  <c r="C34" i="8"/>
  <c r="G34" i="8" s="1"/>
  <c r="D34" i="7" l="1"/>
  <c r="D35" i="8"/>
  <c r="E34" i="7" l="1"/>
  <c r="C34" i="7" s="1"/>
  <c r="G34" i="7" s="1"/>
  <c r="E35" i="8"/>
  <c r="C35" i="8" s="1"/>
  <c r="G35" i="8" s="1"/>
  <c r="D36" i="8" l="1"/>
  <c r="D35" i="7"/>
  <c r="E35" i="7" l="1"/>
  <c r="C35" i="7"/>
  <c r="G35" i="7" s="1"/>
  <c r="E36" i="8"/>
  <c r="C36" i="8"/>
  <c r="G36" i="8" s="1"/>
  <c r="D37" i="8" l="1"/>
  <c r="D36" i="7"/>
  <c r="E36" i="7" l="1"/>
  <c r="C36" i="7"/>
  <c r="G36" i="7" s="1"/>
  <c r="E37" i="8"/>
  <c r="C37" i="8" s="1"/>
  <c r="G37" i="8" s="1"/>
  <c r="D38" i="8" l="1"/>
  <c r="D37" i="7"/>
  <c r="E37" i="7" l="1"/>
  <c r="C37" i="7"/>
  <c r="G37" i="7" s="1"/>
  <c r="E38" i="8"/>
  <c r="C38" i="8"/>
  <c r="G38" i="8" s="1"/>
  <c r="D38" i="7" l="1"/>
  <c r="D39" i="8"/>
  <c r="E39" i="8" l="1"/>
  <c r="E41" i="8" s="1"/>
  <c r="C39" i="8"/>
  <c r="D41" i="8"/>
  <c r="K18" i="8"/>
  <c r="E38" i="7"/>
  <c r="C38" i="7"/>
  <c r="G38" i="7" s="1"/>
  <c r="D39" i="7" l="1"/>
  <c r="C41" i="8"/>
  <c r="K17" i="8"/>
  <c r="G39" i="8"/>
  <c r="E39" i="7" l="1"/>
  <c r="C39" i="7" s="1"/>
  <c r="K18" i="7"/>
  <c r="K17" i="7" l="1"/>
  <c r="G39" i="7"/>
  <c r="H46" i="14"/>
  <c r="H34" i="14"/>
  <c r="D40" i="7" l="1"/>
  <c r="H47" i="14"/>
  <c r="H48" i="14" s="1"/>
  <c r="G23" i="10"/>
  <c r="H35" i="14"/>
  <c r="H36" i="14" s="1"/>
  <c r="H38" i="14" s="1"/>
  <c r="G53" i="5"/>
  <c r="E15" i="9" l="1"/>
  <c r="G54" i="5"/>
  <c r="G18" i="11"/>
  <c r="G20" i="11" s="1"/>
  <c r="C22" i="12" s="1"/>
  <c r="G24" i="10"/>
  <c r="G25" i="10" s="1"/>
  <c r="H7" i="10" s="1"/>
  <c r="H12" i="10" s="1"/>
  <c r="E40" i="7"/>
  <c r="C40" i="7" s="1"/>
  <c r="G40" i="7" l="1"/>
  <c r="E38" i="9"/>
  <c r="E39" i="9" s="1"/>
  <c r="E16" i="9"/>
  <c r="C8" i="12"/>
  <c r="J8" i="12" s="1"/>
  <c r="G55" i="5"/>
  <c r="G56" i="5" s="1"/>
  <c r="C9" i="12" l="1"/>
  <c r="J9" i="12" s="1"/>
  <c r="G8" i="11"/>
  <c r="G10" i="11" s="1"/>
  <c r="H11" i="14"/>
  <c r="E17" i="9"/>
  <c r="E18" i="9" s="1"/>
  <c r="D41" i="7"/>
  <c r="E41" i="7" l="1"/>
  <c r="C41" i="7"/>
  <c r="H16" i="14"/>
  <c r="H17" i="14" s="1"/>
  <c r="E40" i="9"/>
  <c r="E41" i="9" s="1"/>
  <c r="C20" i="12"/>
  <c r="G14" i="11"/>
  <c r="C21" i="12" l="1"/>
  <c r="G22" i="11"/>
  <c r="G41" i="7"/>
  <c r="D42" i="7" l="1"/>
  <c r="G95" i="11"/>
  <c r="C23" i="12"/>
  <c r="G24" i="11"/>
  <c r="E42" i="7" l="1"/>
  <c r="C42" i="7"/>
  <c r="H23" i="11"/>
  <c r="C24" i="12"/>
  <c r="G42" i="7" l="1"/>
  <c r="D43" i="7" l="1"/>
  <c r="E43" i="7" l="1"/>
  <c r="C43" i="7"/>
  <c r="G43" i="7" l="1"/>
  <c r="D44" i="7" l="1"/>
  <c r="E44" i="7" l="1"/>
  <c r="C44" i="7"/>
  <c r="G44" i="7" l="1"/>
  <c r="D45" i="7" l="1"/>
  <c r="E45" i="7" l="1"/>
  <c r="C45" i="7" s="1"/>
  <c r="G45" i="7" s="1"/>
  <c r="D46" i="7" l="1"/>
  <c r="E46" i="7" l="1"/>
  <c r="C46" i="7"/>
  <c r="G46" i="7" s="1"/>
  <c r="D47" i="7" l="1"/>
  <c r="E47" i="7" l="1"/>
  <c r="C47" i="7"/>
  <c r="G47" i="7" s="1"/>
  <c r="D48" i="7" l="1"/>
  <c r="E48" i="7" l="1"/>
  <c r="C48" i="7"/>
  <c r="G48" i="7" s="1"/>
  <c r="D49" i="7" l="1"/>
  <c r="E49" i="7" l="1"/>
  <c r="C49" i="7" s="1"/>
  <c r="G49" i="7" s="1"/>
  <c r="D50" i="7" l="1"/>
  <c r="E50" i="7" l="1"/>
  <c r="C50" i="7"/>
  <c r="G50" i="7" s="1"/>
  <c r="D51" i="7" l="1"/>
  <c r="E51" i="7" l="1"/>
  <c r="C51" i="7"/>
  <c r="L18" i="7"/>
  <c r="I46" i="14" l="1"/>
  <c r="I34" i="14"/>
  <c r="L17" i="7"/>
  <c r="G51" i="7"/>
  <c r="I47" i="14" l="1"/>
  <c r="I35" i="14"/>
  <c r="H23" i="10"/>
  <c r="H53" i="5"/>
  <c r="I36" i="14"/>
  <c r="I38" i="14" s="1"/>
  <c r="D52" i="7"/>
  <c r="I48" i="14"/>
  <c r="F15" i="9" l="1"/>
  <c r="H54" i="5"/>
  <c r="E52" i="7"/>
  <c r="C52" i="7"/>
  <c r="H18" i="11"/>
  <c r="H20" i="11" s="1"/>
  <c r="D22" i="12" s="1"/>
  <c r="H24" i="10"/>
  <c r="H25" i="10" s="1"/>
  <c r="I7" i="10" s="1"/>
  <c r="I12" i="10" s="1"/>
  <c r="G52" i="7" l="1"/>
  <c r="D8" i="12"/>
  <c r="K8" i="12" s="1"/>
  <c r="H55" i="5"/>
  <c r="H56" i="5" s="1"/>
  <c r="F38" i="9"/>
  <c r="F39" i="9" s="1"/>
  <c r="F16" i="9"/>
  <c r="D9" i="12" l="1"/>
  <c r="K9" i="12" s="1"/>
  <c r="H8" i="11"/>
  <c r="H10" i="11" s="1"/>
  <c r="F17" i="9"/>
  <c r="I11" i="14"/>
  <c r="D53" i="7"/>
  <c r="F40" i="9" l="1"/>
  <c r="F41" i="9" s="1"/>
  <c r="I16" i="14"/>
  <c r="I17" i="14" s="1"/>
  <c r="E53" i="7"/>
  <c r="C53" i="7"/>
  <c r="F18" i="9"/>
  <c r="D20" i="12"/>
  <c r="H14" i="11"/>
  <c r="D21" i="12" l="1"/>
  <c r="H22" i="11"/>
  <c r="G53" i="7"/>
  <c r="D54" i="7" l="1"/>
  <c r="D23" i="12"/>
  <c r="H95" i="11"/>
  <c r="H24" i="11"/>
  <c r="D24" i="12" l="1"/>
  <c r="I23" i="11"/>
  <c r="E54" i="7"/>
  <c r="C54" i="7"/>
  <c r="G54" i="7" l="1"/>
  <c r="D55" i="7" l="1"/>
  <c r="E55" i="7" l="1"/>
  <c r="C55" i="7"/>
  <c r="G55" i="7" l="1"/>
  <c r="D56" i="7" l="1"/>
  <c r="E56" i="7" l="1"/>
  <c r="C56" i="7" s="1"/>
  <c r="G56" i="7" l="1"/>
  <c r="D57" i="7" l="1"/>
  <c r="E57" i="7" l="1"/>
  <c r="C57" i="7" s="1"/>
  <c r="G57" i="7" s="1"/>
  <c r="D58" i="7" l="1"/>
  <c r="E58" i="7" l="1"/>
  <c r="C58" i="7" s="1"/>
  <c r="G58" i="7" s="1"/>
  <c r="D59" i="7" l="1"/>
  <c r="E59" i="7" l="1"/>
  <c r="C59" i="7"/>
  <c r="G59" i="7" s="1"/>
  <c r="D60" i="7" l="1"/>
  <c r="E60" i="7" l="1"/>
  <c r="C60" i="7"/>
  <c r="G60" i="7" s="1"/>
  <c r="D61" i="7" l="1"/>
  <c r="E61" i="7" l="1"/>
  <c r="C61" i="7"/>
  <c r="G61" i="7" s="1"/>
  <c r="D62" i="7" l="1"/>
  <c r="E62" i="7" l="1"/>
  <c r="C62" i="7"/>
  <c r="G62" i="7" s="1"/>
  <c r="D63" i="7" l="1"/>
  <c r="E63" i="7" l="1"/>
  <c r="C63" i="7"/>
  <c r="M18" i="7"/>
  <c r="J46" i="14" l="1"/>
  <c r="J34" i="14"/>
  <c r="M17" i="7"/>
  <c r="G63" i="7"/>
  <c r="D64" i="7" l="1"/>
  <c r="J47" i="14"/>
  <c r="I23" i="10"/>
  <c r="J35" i="14"/>
  <c r="I53" i="5"/>
  <c r="J36" i="14"/>
  <c r="J38" i="14" s="1"/>
  <c r="J48" i="14"/>
  <c r="G15" i="9" l="1"/>
  <c r="I54" i="5"/>
  <c r="I18" i="11"/>
  <c r="I20" i="11" s="1"/>
  <c r="E22" i="12" s="1"/>
  <c r="I24" i="10"/>
  <c r="I25" i="10" s="1"/>
  <c r="J7" i="10" s="1"/>
  <c r="J12" i="10" s="1"/>
  <c r="E64" i="7"/>
  <c r="C64" i="7" s="1"/>
  <c r="G64" i="7" l="1"/>
  <c r="E8" i="12"/>
  <c r="L8" i="12" s="1"/>
  <c r="I55" i="5"/>
  <c r="I56" i="5" s="1"/>
  <c r="G38" i="9"/>
  <c r="G39" i="9" s="1"/>
  <c r="G16" i="9"/>
  <c r="I8" i="11" l="1"/>
  <c r="I10" i="11" s="1"/>
  <c r="E9" i="12"/>
  <c r="L9" i="12" s="1"/>
  <c r="J11" i="14"/>
  <c r="G17" i="9"/>
  <c r="G18" i="9" s="1"/>
  <c r="D65" i="7"/>
  <c r="E65" i="7" l="1"/>
  <c r="C65" i="7"/>
  <c r="J16" i="14"/>
  <c r="J17" i="14" s="1"/>
  <c r="G40" i="9"/>
  <c r="G41" i="9" s="1"/>
  <c r="I14" i="11"/>
  <c r="E20" i="12"/>
  <c r="I22" i="11" l="1"/>
  <c r="E21" i="12"/>
  <c r="G65" i="7"/>
  <c r="D66" i="7" l="1"/>
  <c r="E23" i="12"/>
  <c r="I95" i="11"/>
  <c r="I24" i="11"/>
  <c r="E66" i="7" l="1"/>
  <c r="C66" i="7"/>
  <c r="J23" i="11"/>
  <c r="E24" i="12"/>
  <c r="G66" i="7" l="1"/>
  <c r="D67" i="7" l="1"/>
  <c r="E67" i="7" l="1"/>
  <c r="C67" i="7"/>
  <c r="G67" i="7" l="1"/>
  <c r="D68" i="7" l="1"/>
  <c r="E68" i="7" l="1"/>
  <c r="C68" i="7"/>
  <c r="G68" i="7" l="1"/>
  <c r="D69" i="7" l="1"/>
  <c r="E69" i="7" l="1"/>
  <c r="C69" i="7"/>
  <c r="G69" i="7" s="1"/>
  <c r="D70" i="7" l="1"/>
  <c r="E70" i="7" l="1"/>
  <c r="C70" i="7"/>
  <c r="G70" i="7" s="1"/>
  <c r="D71" i="7" l="1"/>
  <c r="E71" i="7" l="1"/>
  <c r="C71" i="7"/>
  <c r="G71" i="7" s="1"/>
  <c r="D72" i="7" l="1"/>
  <c r="E72" i="7" l="1"/>
  <c r="C72" i="7"/>
  <c r="G72" i="7" s="1"/>
  <c r="D73" i="7" l="1"/>
  <c r="E73" i="7" l="1"/>
  <c r="C73" i="7"/>
  <c r="G73" i="7" s="1"/>
  <c r="D74" i="7" l="1"/>
  <c r="E74" i="7" l="1"/>
  <c r="C74" i="7" s="1"/>
  <c r="G74" i="7" s="1"/>
  <c r="D75" i="7" l="1"/>
  <c r="E75" i="7" l="1"/>
  <c r="E78" i="7" s="1"/>
  <c r="C75" i="7"/>
  <c r="D78" i="7"/>
  <c r="N18" i="7"/>
  <c r="K46" i="14" l="1"/>
  <c r="K34" i="14"/>
  <c r="C78" i="7"/>
  <c r="N17" i="7"/>
  <c r="G75" i="7"/>
  <c r="K47" i="14" l="1"/>
  <c r="K35" i="14"/>
  <c r="J23" i="10"/>
  <c r="J53" i="5"/>
  <c r="K36" i="14"/>
  <c r="K38" i="14" s="1"/>
  <c r="K48" i="14"/>
  <c r="F51" i="14" s="1"/>
  <c r="F39" i="14" l="1"/>
  <c r="F41" i="14"/>
  <c r="H15" i="9"/>
  <c r="J54" i="5"/>
  <c r="F53" i="14" a="1"/>
  <c r="F53" i="14" s="1"/>
  <c r="F22" i="14" a="1"/>
  <c r="F22" i="14" s="1"/>
  <c r="F29" i="14" s="1"/>
  <c r="J18" i="11"/>
  <c r="J20" i="11" s="1"/>
  <c r="F22" i="12" s="1"/>
  <c r="J24" i="10"/>
  <c r="J25" i="10" s="1"/>
  <c r="F8" i="12" l="1"/>
  <c r="M8" i="12" s="1"/>
  <c r="J55" i="5"/>
  <c r="J56" i="5" s="1"/>
  <c r="H38" i="9"/>
  <c r="H39" i="9" s="1"/>
  <c r="H16" i="9"/>
  <c r="F9" i="12" l="1"/>
  <c r="M9" i="12" s="1"/>
  <c r="J8" i="11"/>
  <c r="J10" i="11" s="1"/>
  <c r="K11" i="14"/>
  <c r="H17" i="9"/>
  <c r="K16" i="14" l="1"/>
  <c r="K17" i="14" s="1"/>
  <c r="F19" i="14" s="1"/>
  <c r="H40" i="9"/>
  <c r="H41" i="9" s="1"/>
  <c r="H18" i="9"/>
  <c r="J14" i="11"/>
  <c r="F20" i="12"/>
  <c r="F21" i="12" l="1"/>
  <c r="J22" i="11"/>
  <c r="F23" i="12" l="1"/>
  <c r="J95" i="11"/>
  <c r="J24" i="11"/>
  <c r="F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8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ID#AAAAKhiPago
Soyibou NDAO    (2020-10-15 09:11:33)
Nom du cabinet si existant, sinon mettre "Interne" ou "Néant"</t>
        </r>
      </text>
    </comment>
    <comment ref="C40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ID#AAAAKhiPagg
Soyibou NDAO    (2020-10-15 09:11:33)
Indiquer le nom du commissaire aux comptes ou "Néant"</t>
        </r>
      </text>
    </comment>
    <comment ref="D141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ID#AAAAKhiPagc
Soyibou NDAO    (2020-10-15 09:11:33)
Si l'entreprise a une clientèle de masse, le préciser dans les observations et donner son profil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nK7C7Jnw68xxam9SUTRDJtZt7fw=="/>
    </ext>
  </extLst>
</comments>
</file>

<file path=xl/sharedStrings.xml><?xml version="1.0" encoding="utf-8"?>
<sst xmlns="http://schemas.openxmlformats.org/spreadsheetml/2006/main" count="621" uniqueCount="337">
  <si>
    <t>Sommaire</t>
  </si>
  <si>
    <t>Présentation de l'entreprise</t>
  </si>
  <si>
    <t>Données générales</t>
  </si>
  <si>
    <t>Nom de la structure</t>
  </si>
  <si>
    <t>Année de création</t>
  </si>
  <si>
    <t>Forme juridique</t>
  </si>
  <si>
    <t>Activité principale</t>
  </si>
  <si>
    <t>Adresse</t>
  </si>
  <si>
    <t>Ville</t>
  </si>
  <si>
    <t>Point focal</t>
  </si>
  <si>
    <t>Fonction</t>
  </si>
  <si>
    <t>Tel</t>
  </si>
  <si>
    <t>Email</t>
  </si>
  <si>
    <t>Informations système comptable</t>
  </si>
  <si>
    <t>Dernier exercice  clôturé</t>
  </si>
  <si>
    <t>États financiers certifiés</t>
  </si>
  <si>
    <t>Pas d'états financiers</t>
  </si>
  <si>
    <t>Cabinet d'assistance comptable</t>
  </si>
  <si>
    <t>Néant</t>
  </si>
  <si>
    <t>Commissaire aux comptes</t>
  </si>
  <si>
    <t>Actionnariat</t>
  </si>
  <si>
    <t>Prénom</t>
  </si>
  <si>
    <t>Nom</t>
  </si>
  <si>
    <t>% détenu</t>
  </si>
  <si>
    <t>1-</t>
  </si>
  <si>
    <t>2-</t>
  </si>
  <si>
    <t>3-</t>
  </si>
  <si>
    <t>4-</t>
  </si>
  <si>
    <t>Total</t>
  </si>
  <si>
    <t>Management et Oragnigramme</t>
  </si>
  <si>
    <t>Fonction/ Année d'expérience</t>
  </si>
  <si>
    <t>Gérant / 30 ans</t>
  </si>
  <si>
    <t>Co-gérant / 7ans</t>
  </si>
  <si>
    <t>5-</t>
  </si>
  <si>
    <t>7-</t>
  </si>
  <si>
    <t>8-</t>
  </si>
  <si>
    <t>Historique de l'entreprise</t>
  </si>
  <si>
    <t xml:space="preserve"> </t>
  </si>
  <si>
    <t>Relations bancaires</t>
  </si>
  <si>
    <t>Banque</t>
  </si>
  <si>
    <t>Engagement en cours</t>
  </si>
  <si>
    <t>N° Compte</t>
  </si>
  <si>
    <t>Coordonnées Agence</t>
  </si>
  <si>
    <t>Agence</t>
  </si>
  <si>
    <t>N° Tel</t>
  </si>
  <si>
    <t>E-mail</t>
  </si>
  <si>
    <t>Observations</t>
  </si>
  <si>
    <t>Activités</t>
  </si>
  <si>
    <t>Produit/service</t>
  </si>
  <si>
    <t>Part dans le CA N-1</t>
  </si>
  <si>
    <t>Part dans le CA N-2</t>
  </si>
  <si>
    <t>Liste des biens</t>
  </si>
  <si>
    <t>Principaux clients</t>
  </si>
  <si>
    <t>Nom du client</t>
  </si>
  <si>
    <t>CA sur le client N-1</t>
  </si>
  <si>
    <t>Délai de règlement</t>
  </si>
  <si>
    <t>Principaux fournisseurs</t>
  </si>
  <si>
    <t>Nom du fournisseur</t>
  </si>
  <si>
    <t>Produit</t>
  </si>
  <si>
    <t>Délai de paiement</t>
  </si>
  <si>
    <t>Liste indicative des documents à fournir</t>
  </si>
  <si>
    <t>Boulangerie</t>
  </si>
  <si>
    <t>Ninea</t>
  </si>
  <si>
    <t>Oui</t>
  </si>
  <si>
    <t>RCCM</t>
  </si>
  <si>
    <t>Copie CNI</t>
  </si>
  <si>
    <t>États financiers 2017</t>
  </si>
  <si>
    <t>États financiers 2018</t>
  </si>
  <si>
    <t>États financiers 2019</t>
  </si>
  <si>
    <t>Relevé bancaire (banque principale)</t>
  </si>
  <si>
    <t>Relevé bancaire (banque secondaire)</t>
  </si>
  <si>
    <t>Non</t>
  </si>
  <si>
    <t>Factures pro forma à jour (Investissements)</t>
  </si>
  <si>
    <t>Factures pro forma à jour (Exploitation)</t>
  </si>
  <si>
    <t>Courrier demande de financement</t>
  </si>
  <si>
    <t>Contrat d'engagement ADEPME signé</t>
  </si>
  <si>
    <t xml:space="preserve">HYPOTHÈSES GENERALES </t>
  </si>
  <si>
    <t>Cellules à renseigner</t>
  </si>
  <si>
    <t>Cellules contenant des formules / Résultats générés automatiquement</t>
  </si>
  <si>
    <t>unité</t>
  </si>
  <si>
    <t>Baseline</t>
  </si>
  <si>
    <t>A. Paramètres</t>
  </si>
  <si>
    <t>Insérer noms des produit/services et modifier les autres cellules si opportun</t>
  </si>
  <si>
    <t>Région</t>
  </si>
  <si>
    <t>Dakar</t>
  </si>
  <si>
    <t>Devise</t>
  </si>
  <si>
    <t>XOF</t>
  </si>
  <si>
    <t>Offre de Produits/Services</t>
  </si>
  <si>
    <t>Matière 1ère</t>
  </si>
  <si>
    <t>Produit/Service 1</t>
  </si>
  <si>
    <t>Produit 1</t>
  </si>
  <si>
    <t>Matière 1ère A</t>
  </si>
  <si>
    <t>Matière A</t>
  </si>
  <si>
    <t>Produit/Service 2</t>
  </si>
  <si>
    <t>Produit 2</t>
  </si>
  <si>
    <t>Matière B</t>
  </si>
  <si>
    <t>Produit/Service 3</t>
  </si>
  <si>
    <t>Produit 3</t>
  </si>
  <si>
    <t>Matière C</t>
  </si>
  <si>
    <t>Produit/Service 4</t>
  </si>
  <si>
    <t>Produit 4</t>
  </si>
  <si>
    <t>Matière D</t>
  </si>
  <si>
    <t>Produit/Service 5</t>
  </si>
  <si>
    <t>Produit 5</t>
  </si>
  <si>
    <t>Matière E</t>
  </si>
  <si>
    <t>Taux Impôt sur les sociétés</t>
  </si>
  <si>
    <t>%</t>
  </si>
  <si>
    <t>Taux d'intérêt emprunts</t>
  </si>
  <si>
    <t>Taux d'inflation</t>
  </si>
  <si>
    <t>Jours par an</t>
  </si>
  <si>
    <t>jours</t>
  </si>
  <si>
    <t>Nombre de mensualité</t>
  </si>
  <si>
    <t>mois</t>
  </si>
  <si>
    <t>Nb semaines par an</t>
  </si>
  <si>
    <t>semaines</t>
  </si>
  <si>
    <t>Délais de paiement des clients</t>
  </si>
  <si>
    <t>Délais fournisseurs</t>
  </si>
  <si>
    <t>Délais de rotation des stocks</t>
  </si>
  <si>
    <t>Taux Amortissements Immo</t>
  </si>
  <si>
    <t>Terrains</t>
  </si>
  <si>
    <t>An</t>
  </si>
  <si>
    <t>Batiments &amp; travaux publics</t>
  </si>
  <si>
    <t>Aménagement, agencement et Installation</t>
  </si>
  <si>
    <t>Matériel d'exploitation</t>
  </si>
  <si>
    <t>Véhicule</t>
  </si>
  <si>
    <t>Matériel et outillage</t>
  </si>
  <si>
    <t>Matériel et Mobilier de bureau</t>
  </si>
  <si>
    <t>Stress test</t>
  </si>
  <si>
    <t>B. Hypothèses d'exploitation</t>
  </si>
  <si>
    <t>Mettre les volumes constatés durant l'année de référence</t>
  </si>
  <si>
    <t>Recettes</t>
  </si>
  <si>
    <t>Charges</t>
  </si>
  <si>
    <t>Qté/Unité/mois</t>
  </si>
  <si>
    <t>Prix (FCFA)</t>
  </si>
  <si>
    <t>Total Mensuel (FCFA)</t>
  </si>
  <si>
    <t>Quantité/Jour</t>
  </si>
  <si>
    <t>Nbre</t>
  </si>
  <si>
    <t>Prix</t>
  </si>
  <si>
    <t>FCFA</t>
  </si>
  <si>
    <t>Quantité vendue/Jour</t>
  </si>
  <si>
    <t>C. Taux de croissance</t>
  </si>
  <si>
    <t>Modifier si opportun</t>
  </si>
  <si>
    <t>Coûts</t>
  </si>
  <si>
    <t>Coûts directs</t>
  </si>
  <si>
    <t>Salaires &amp; traitements</t>
  </si>
  <si>
    <t>Achat de matière et fourniture liée</t>
  </si>
  <si>
    <t xml:space="preserve">Autres achats </t>
  </si>
  <si>
    <t>Eau</t>
  </si>
  <si>
    <t>Electricité</t>
  </si>
  <si>
    <t>Téléphone et internet</t>
  </si>
  <si>
    <t>Fourniture de bureau</t>
  </si>
  <si>
    <t>Entretien</t>
  </si>
  <si>
    <t>Achat de prestation de service</t>
  </si>
  <si>
    <t>Achat d'emballage</t>
  </si>
  <si>
    <t>Carburant</t>
  </si>
  <si>
    <t>Rabais, Remises et Ristourne</t>
  </si>
  <si>
    <t>Transport</t>
  </si>
  <si>
    <t>Services Extérieurs</t>
  </si>
  <si>
    <t>Location</t>
  </si>
  <si>
    <t>Impôt et Taxes</t>
  </si>
  <si>
    <t>Autres charges</t>
  </si>
  <si>
    <t>Consommation d'électricité</t>
  </si>
  <si>
    <t>Charges salariales</t>
  </si>
  <si>
    <t>Année</t>
  </si>
  <si>
    <t>Nom employé</t>
  </si>
  <si>
    <t>Revenu Brut Mensuel</t>
  </si>
  <si>
    <t>Revenu Brut Annuel</t>
  </si>
  <si>
    <t>Janvier</t>
  </si>
  <si>
    <t>A</t>
  </si>
  <si>
    <t>février</t>
  </si>
  <si>
    <t>B</t>
  </si>
  <si>
    <t>mars</t>
  </si>
  <si>
    <t>C</t>
  </si>
  <si>
    <t>avril</t>
  </si>
  <si>
    <t>D</t>
  </si>
  <si>
    <t>mai</t>
  </si>
  <si>
    <t>E</t>
  </si>
  <si>
    <t>juin</t>
  </si>
  <si>
    <t>F</t>
  </si>
  <si>
    <t>juillet</t>
  </si>
  <si>
    <t>G</t>
  </si>
  <si>
    <t>août</t>
  </si>
  <si>
    <t>H</t>
  </si>
  <si>
    <t>septembre</t>
  </si>
  <si>
    <t>I</t>
  </si>
  <si>
    <t>octobre</t>
  </si>
  <si>
    <t>J</t>
  </si>
  <si>
    <t>novembre</t>
  </si>
  <si>
    <t>K</t>
  </si>
  <si>
    <t>décembre</t>
  </si>
  <si>
    <t>L</t>
  </si>
  <si>
    <t>Consommation d'eau</t>
  </si>
  <si>
    <t>Consommation Téléphone</t>
  </si>
  <si>
    <t>COMPTE D'EXPLOITATION PREVISIONNEL</t>
  </si>
  <si>
    <t xml:space="preserve">tot. </t>
  </si>
  <si>
    <t>Total Chiffre d'affaires</t>
  </si>
  <si>
    <t>Coûts Directs</t>
  </si>
  <si>
    <t>Marge brute</t>
  </si>
  <si>
    <t>Excédent brut d'exploitation</t>
  </si>
  <si>
    <t>Dotation aux amortissement</t>
  </si>
  <si>
    <t>Dotation aux amortissement/ Investissement</t>
  </si>
  <si>
    <t>Dotation aux amortissement/ Immo. Existant</t>
  </si>
  <si>
    <t>Résultat d'exploitation</t>
  </si>
  <si>
    <t xml:space="preserve">Charges financières </t>
  </si>
  <si>
    <t>Résultat AO</t>
  </si>
  <si>
    <t>IS</t>
  </si>
  <si>
    <t>Résultat net</t>
  </si>
  <si>
    <t>Investissements</t>
  </si>
  <si>
    <t>Aménagements</t>
  </si>
  <si>
    <t>Quantité</t>
  </si>
  <si>
    <t>Unité</t>
  </si>
  <si>
    <t>Prix Unitaire</t>
  </si>
  <si>
    <t>Prix Total</t>
  </si>
  <si>
    <t>travaux de construction et d'aménagement</t>
  </si>
  <si>
    <t>u</t>
  </si>
  <si>
    <t>Carrelage</t>
  </si>
  <si>
    <t>Menuiserie</t>
  </si>
  <si>
    <t>Peinture</t>
  </si>
  <si>
    <t>Plomberie</t>
  </si>
  <si>
    <t>Visuel</t>
  </si>
  <si>
    <t>Matériel de Production</t>
  </si>
  <si>
    <t>Autres investissements</t>
  </si>
  <si>
    <t>Terrain</t>
  </si>
  <si>
    <t>Batiment</t>
  </si>
  <si>
    <t>équipement solaire</t>
  </si>
  <si>
    <t>Dotation aux amortissements</t>
  </si>
  <si>
    <t>DOTATION AUX AMORTISSEMENTS</t>
  </si>
  <si>
    <t>Rubrique</t>
  </si>
  <si>
    <t>Montant</t>
  </si>
  <si>
    <t>Taux</t>
  </si>
  <si>
    <t>Annuité</t>
  </si>
  <si>
    <t>Autres matériels et outillages</t>
  </si>
  <si>
    <t>montant</t>
  </si>
  <si>
    <t>durée (mois)</t>
  </si>
  <si>
    <t>différé (mois)</t>
  </si>
  <si>
    <t>taux (%)</t>
  </si>
  <si>
    <t>échéance</t>
  </si>
  <si>
    <t>assurance (%)</t>
  </si>
  <si>
    <t>tob (%)</t>
  </si>
  <si>
    <t>tx synthétique</t>
  </si>
  <si>
    <t>ech différé</t>
  </si>
  <si>
    <t>coût ct</t>
  </si>
  <si>
    <t>n°</t>
  </si>
  <si>
    <t>principal</t>
  </si>
  <si>
    <t>profit</t>
  </si>
  <si>
    <t>tob</t>
  </si>
  <si>
    <t>annuité</t>
  </si>
  <si>
    <t>restant dû</t>
  </si>
  <si>
    <t>Remboursement en capital</t>
  </si>
  <si>
    <t>Intérêts + TOB</t>
  </si>
  <si>
    <t>Rurbiques</t>
  </si>
  <si>
    <t>Chiffre d'affaires</t>
  </si>
  <si>
    <t>Salaires</t>
  </si>
  <si>
    <t>Autres charges d'exploitation</t>
  </si>
  <si>
    <t>DAP</t>
  </si>
  <si>
    <t>Charges d'intérêts</t>
  </si>
  <si>
    <t>Résultat avant impôt</t>
  </si>
  <si>
    <t>COMPTE D'EXPLOITATION PREVISIONNEL STRESSE</t>
  </si>
  <si>
    <t>Stress Test</t>
  </si>
  <si>
    <t xml:space="preserve">                        -     </t>
  </si>
  <si>
    <t>Plan de trésorerie</t>
  </si>
  <si>
    <t>Solde début de période</t>
  </si>
  <si>
    <t>tot. Elev</t>
  </si>
  <si>
    <t>Encaissement</t>
  </si>
  <si>
    <t>Vente de services</t>
  </si>
  <si>
    <t>Emprunt</t>
  </si>
  <si>
    <t>Décaissement</t>
  </si>
  <si>
    <t>Investissement</t>
  </si>
  <si>
    <t>Remboursement emprunt+Intérêt</t>
  </si>
  <si>
    <t>Total Décaissement</t>
  </si>
  <si>
    <t>Solde fin de période</t>
  </si>
  <si>
    <t>Cash-flow</t>
  </si>
  <si>
    <t>En milliers</t>
  </si>
  <si>
    <t>TOTAL RESSOURCES</t>
  </si>
  <si>
    <t>Résultat Net</t>
  </si>
  <si>
    <t>Dotation aux Amortissements</t>
  </si>
  <si>
    <t>Capacité d'autofinancement</t>
  </si>
  <si>
    <t>Apport en capital</t>
  </si>
  <si>
    <t>Fond de roulement</t>
  </si>
  <si>
    <t>TOTAL INFLOW</t>
  </si>
  <si>
    <t>Cycle de financement</t>
  </si>
  <si>
    <t>Remboursement des emprunts (Service de la dette)</t>
  </si>
  <si>
    <t>Dotation Fonds de roulement</t>
  </si>
  <si>
    <t>TOTAL OUTFLOW</t>
  </si>
  <si>
    <t>CASHFLOW NET</t>
  </si>
  <si>
    <t>Solde treso d'ouverture</t>
  </si>
  <si>
    <t>Solde tréso de cloture</t>
  </si>
  <si>
    <t>Fonds de roulement (planning)</t>
  </si>
  <si>
    <t>Délais clients</t>
  </si>
  <si>
    <t>Rotation des stocks</t>
  </si>
  <si>
    <t>Besoin en fonds de roulement</t>
  </si>
  <si>
    <t>Variation du Besoin en fonds de roulement</t>
  </si>
  <si>
    <t>Year 0</t>
  </si>
  <si>
    <t>Cash flow</t>
  </si>
  <si>
    <t>Analyse de la performance</t>
  </si>
  <si>
    <t>CROISSANCE</t>
  </si>
  <si>
    <t>Chiffre d'affaire</t>
  </si>
  <si>
    <t>CA</t>
  </si>
  <si>
    <t>Exédent Brut d'exploitation</t>
  </si>
  <si>
    <t>EBE</t>
  </si>
  <si>
    <t>REX</t>
  </si>
  <si>
    <t>RN</t>
  </si>
  <si>
    <t>Nombre d'éléve</t>
  </si>
  <si>
    <t>Analyse Cash flow</t>
  </si>
  <si>
    <t>CAF</t>
  </si>
  <si>
    <t>Cashflow IN</t>
  </si>
  <si>
    <t>Cashflow OUT</t>
  </si>
  <si>
    <t>Cashflow Net</t>
  </si>
  <si>
    <t>Trésorerie Net</t>
  </si>
  <si>
    <t>Rentabilité financière</t>
  </si>
  <si>
    <t>+ EBE (&gt;0)</t>
  </si>
  <si>
    <t>-Variation du BFE</t>
  </si>
  <si>
    <t xml:space="preserve">  - Investissements</t>
  </si>
  <si>
    <t>- EBE (&lt;0)</t>
  </si>
  <si>
    <t>= Flux projet (Cash Flows)</t>
  </si>
  <si>
    <t>TRI projet avant impôts</t>
  </si>
  <si>
    <t>- Impôts sur les bénéfices</t>
  </si>
  <si>
    <t>= Flux projet</t>
  </si>
  <si>
    <t>TRI projet après impôts</t>
  </si>
  <si>
    <t>Valeur actuelle nette</t>
  </si>
  <si>
    <t>Délais de Récupération du Capital investi</t>
  </si>
  <si>
    <t>Flux monétaires cumulés</t>
  </si>
  <si>
    <t>DRCI</t>
  </si>
  <si>
    <t>années</t>
  </si>
  <si>
    <t>Indice de profitabilité</t>
  </si>
  <si>
    <t>Ratios annuels de couverture de la dette</t>
  </si>
  <si>
    <t>Trésorerie disponible avant service de la dette commerciale</t>
  </si>
  <si>
    <t>Intérêts</t>
  </si>
  <si>
    <t>Amortissement du principal</t>
  </si>
  <si>
    <t>Service de la dette commerciale</t>
  </si>
  <si>
    <t>DSCR annuel</t>
  </si>
  <si>
    <t>DSCR annuel minimum</t>
  </si>
  <si>
    <t>Ratios acturariels de couverture de la dette</t>
  </si>
  <si>
    <t>+ Tirage dette</t>
  </si>
  <si>
    <t>Solde des flux financiers dette commerciale</t>
  </si>
  <si>
    <t>Taux actuariel annuel de la dette commerciale</t>
  </si>
  <si>
    <t>LLCR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</si>
</sst>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 Activités menées en &quot;###0"/>
    <numFmt numFmtId="165" formatCode="#,##0&quot; h.&quot;"/>
    <numFmt numFmtId="166" formatCode="_ * #,##0_)\ _C_F_A_ ;_ * \(#,##0\)\ _C_F_A_ ;_ * &quot;-&quot;_)\ _C_F_A_ ;_ @_ "/>
    <numFmt numFmtId="167" formatCode="_(* #,##0,_);[Red]_(* \(#,##0,\);_(* &quot;-&quot;??_);_(@_)"/>
    <numFmt numFmtId="168" formatCode="_ * #,##0_)_ ;_ * \(#,##0\)_ ;_ * &quot;-&quot;_)_ ;_ @_ "/>
    <numFmt numFmtId="169" formatCode="_(* #,###,_);_(* \(#,###,\);_(* &quot;-&quot;??_);_(@_)"/>
    <numFmt numFmtId="170" formatCode="_ * #,##0.00_)\ _C_F_A_ ;_ * \(#,##0.00\)\ _C_F_A_ ;_ * &quot;-&quot;_)\ _C_F_A_ ;_ @_ "/>
    <numFmt numFmtId="171" formatCode="0.0%"/>
    <numFmt numFmtId="172" formatCode="_-* #,##0\ _€_-;\-* #,##0\ _€_-;_-* &quot;-&quot;??\ _€_-;_-@"/>
    <numFmt numFmtId="173" formatCode="0.000_ ;\-0.000\ "/>
    <numFmt numFmtId="174" formatCode="0_ ;\-0\ "/>
    <numFmt numFmtId="175" formatCode="0.000000"/>
    <numFmt numFmtId="176" formatCode="#,##0.00__"/>
    <numFmt numFmtId="177" formatCode="_(* #,##0.00_);_(* \(#,##0.00\);_(* &quot;-&quot;??_);_(@_)"/>
    <numFmt numFmtId="178" formatCode="#,##0;\(#,##0\);&quot;-&quot;"/>
    <numFmt numFmtId="179" formatCode="#,##0_);\(#,##0_)"/>
    <numFmt numFmtId="180" formatCode="_ * #,##0.0_)_ ;_ * \(#,##0.0\)_ ;_ * &quot;-&quot;_)_ ;_ @_ "/>
    <numFmt numFmtId="181" formatCode="0.0"/>
  </numFmts>
  <fonts count="79">
    <font>
      <sz val="11"/>
      <color theme="1"/>
      <name val="Calibri"/>
      <scheme val="minor"/>
    </font>
    <font>
      <b/>
      <sz val="10"/>
      <color rgb="FF000000"/>
      <name val="Century Gothic"/>
    </font>
    <font>
      <sz val="10"/>
      <color theme="1"/>
      <name val="Century Gothic"/>
    </font>
    <font>
      <sz val="11"/>
      <color theme="1"/>
      <name val="Century Gothic"/>
    </font>
    <font>
      <sz val="9"/>
      <color theme="1"/>
      <name val="Century Gothic"/>
    </font>
    <font>
      <b/>
      <sz val="22"/>
      <color theme="9"/>
      <name val="Century Gothic"/>
    </font>
    <font>
      <b/>
      <sz val="18"/>
      <color rgb="FFFFFFFF"/>
      <name val="Century Gothic"/>
    </font>
    <font>
      <sz val="11"/>
      <name val="Calibri"/>
    </font>
    <font>
      <b/>
      <sz val="12"/>
      <color theme="1"/>
      <name val="Century Gothic"/>
    </font>
    <font>
      <sz val="10"/>
      <color rgb="FF000000"/>
      <name val="Century Gothic"/>
    </font>
    <font>
      <sz val="9"/>
      <color rgb="FF000000"/>
      <name val="Century Gothic"/>
    </font>
    <font>
      <b/>
      <sz val="10"/>
      <color rgb="FFDD0806"/>
      <name val="Century Gothic"/>
    </font>
    <font>
      <sz val="11"/>
      <color rgb="FF0563C1"/>
      <name val="Arial"/>
    </font>
    <font>
      <b/>
      <sz val="10"/>
      <color theme="1"/>
      <name val="Century Gothic"/>
    </font>
    <font>
      <sz val="10"/>
      <color rgb="FFDD0806"/>
      <name val="Century Gothic"/>
    </font>
    <font>
      <sz val="8"/>
      <color rgb="FFFF0000"/>
      <name val="Century Gothic"/>
    </font>
    <font>
      <sz val="14"/>
      <color rgb="FF000000"/>
      <name val="Century Gothic"/>
    </font>
    <font>
      <b/>
      <sz val="20"/>
      <color theme="9"/>
      <name val="Century Gothic"/>
    </font>
    <font>
      <sz val="10"/>
      <color theme="0"/>
      <name val="Century Gothic"/>
    </font>
    <font>
      <b/>
      <sz val="11"/>
      <color theme="1"/>
      <name val="Century Gothic"/>
    </font>
    <font>
      <u/>
      <sz val="11"/>
      <color theme="10"/>
      <name val="Century Gothic"/>
    </font>
    <font>
      <i/>
      <sz val="10"/>
      <color rgb="FFA5A5A5"/>
      <name val="Century Gothic"/>
    </font>
    <font>
      <i/>
      <sz val="11"/>
      <color rgb="FFC00000"/>
      <name val="Century Gothic"/>
    </font>
    <font>
      <b/>
      <sz val="12"/>
      <color theme="0"/>
      <name val="Century Gothic"/>
    </font>
    <font>
      <sz val="11"/>
      <color theme="0"/>
      <name val="Century Gothic"/>
    </font>
    <font>
      <i/>
      <sz val="11"/>
      <color theme="1"/>
      <name val="Century Gothic"/>
    </font>
    <font>
      <i/>
      <sz val="10"/>
      <color theme="1"/>
      <name val="Century Gothic"/>
    </font>
    <font>
      <sz val="11"/>
      <color rgb="FF000000"/>
      <name val="Century Gothic"/>
    </font>
    <font>
      <i/>
      <sz val="9"/>
      <color theme="1"/>
      <name val="Century Gothic"/>
    </font>
    <font>
      <b/>
      <sz val="11"/>
      <color theme="5"/>
      <name val="Century Gothic"/>
    </font>
    <font>
      <b/>
      <sz val="11"/>
      <color rgb="FFC00000"/>
      <name val="Century Gothic"/>
    </font>
    <font>
      <sz val="11"/>
      <color theme="1"/>
      <name val="Arial"/>
    </font>
    <font>
      <b/>
      <sz val="22"/>
      <color rgb="FF70AD47"/>
      <name val="Century Gothic"/>
    </font>
    <font>
      <sz val="11"/>
      <color theme="1"/>
      <name val="Calibri"/>
    </font>
    <font>
      <b/>
      <sz val="11"/>
      <color theme="1"/>
      <name val="Times"/>
    </font>
    <font>
      <b/>
      <sz val="12"/>
      <color theme="9"/>
      <name val="Century Gothic"/>
    </font>
    <font>
      <sz val="11"/>
      <color theme="1"/>
      <name val="Times New Roman"/>
    </font>
    <font>
      <sz val="8"/>
      <color rgb="FFA5A5A5"/>
      <name val="Century Gothic"/>
    </font>
    <font>
      <i/>
      <sz val="9"/>
      <color rgb="FFA5A5A5"/>
      <name val="Century Gothic"/>
    </font>
    <font>
      <b/>
      <sz val="9"/>
      <color theme="1"/>
      <name val="Century Gothic"/>
    </font>
    <font>
      <i/>
      <sz val="9"/>
      <color rgb="FF7F7F7F"/>
      <name val="Century Gothic"/>
    </font>
    <font>
      <sz val="8"/>
      <color theme="1"/>
      <name val="Century Gothic"/>
    </font>
    <font>
      <b/>
      <sz val="8"/>
      <color theme="1"/>
      <name val="Century Gothic"/>
    </font>
    <font>
      <b/>
      <sz val="11"/>
      <color theme="1"/>
      <name val="Calibri"/>
    </font>
    <font>
      <b/>
      <i/>
      <sz val="10"/>
      <color rgb="FF000000"/>
      <name val="Century Gothic"/>
    </font>
    <font>
      <b/>
      <i/>
      <sz val="9"/>
      <color theme="1"/>
      <name val="Century Gothic"/>
    </font>
    <font>
      <i/>
      <sz val="8"/>
      <color theme="1"/>
      <name val="Century Gothic"/>
    </font>
    <font>
      <i/>
      <sz val="11"/>
      <color theme="1"/>
      <name val="Calibri"/>
      <scheme val="minor"/>
    </font>
    <font>
      <b/>
      <sz val="10"/>
      <color theme="5"/>
      <name val="Century Gothic"/>
    </font>
    <font>
      <b/>
      <sz val="11"/>
      <color theme="1"/>
      <name val="Arial"/>
    </font>
    <font>
      <sz val="11"/>
      <color theme="1"/>
      <name val="Calibri"/>
    </font>
    <font>
      <b/>
      <sz val="11"/>
      <color rgb="FF366092"/>
      <name val="Arial"/>
    </font>
    <font>
      <b/>
      <sz val="11"/>
      <color rgb="FF366092"/>
      <name val="Calibri"/>
    </font>
    <font>
      <sz val="11"/>
      <color rgb="FF974806"/>
      <name val="Calibri"/>
    </font>
    <font>
      <b/>
      <sz val="11"/>
      <color rgb="FF974806"/>
      <name val="Calibri"/>
    </font>
    <font>
      <sz val="11"/>
      <color rgb="FF000000"/>
      <name val="Arial"/>
    </font>
    <font>
      <b/>
      <sz val="9"/>
      <color rgb="FF000000"/>
      <name val="Century Gothic"/>
    </font>
    <font>
      <b/>
      <sz val="11"/>
      <color rgb="FFED7D31"/>
      <name val="Century Gothic"/>
    </font>
    <font>
      <b/>
      <sz val="10"/>
      <color rgb="FFED7D31"/>
      <name val="Century Gothic"/>
    </font>
    <font>
      <b/>
      <sz val="14"/>
      <color rgb="FFFF0000"/>
      <name val="Century Gothic"/>
    </font>
    <font>
      <b/>
      <sz val="12"/>
      <color rgb="FF000000"/>
      <name val="Century Gothic"/>
    </font>
    <font>
      <sz val="12"/>
      <color rgb="FF000000"/>
      <name val="Century Gothic"/>
    </font>
    <font>
      <sz val="12"/>
      <color theme="1"/>
      <name val="Arial"/>
    </font>
    <font>
      <sz val="24"/>
      <color rgb="FFC00000"/>
      <name val="Century Gothic"/>
    </font>
    <font>
      <b/>
      <sz val="10"/>
      <color rgb="FFC00000"/>
      <name val="Century Gothic"/>
    </font>
    <font>
      <b/>
      <sz val="8"/>
      <color rgb="FFC00000"/>
      <name val="Century Gothic"/>
    </font>
    <font>
      <b/>
      <sz val="9"/>
      <color rgb="FFC00000"/>
      <name val="Century Gothic"/>
    </font>
    <font>
      <b/>
      <sz val="12"/>
      <color rgb="FF1F3864"/>
      <name val="Century Gothic"/>
    </font>
    <font>
      <b/>
      <sz val="10"/>
      <color rgb="FF1F3864"/>
      <name val="Century Gothic"/>
    </font>
    <font>
      <i/>
      <sz val="10"/>
      <color theme="8"/>
      <name val="Century Gothic"/>
    </font>
    <font>
      <b/>
      <sz val="11"/>
      <color rgb="FF1F3864"/>
      <name val="Century Gothic"/>
    </font>
    <font>
      <b/>
      <i/>
      <sz val="10"/>
      <color rgb="FF1F3864"/>
      <name val="Century Gothic"/>
    </font>
    <font>
      <b/>
      <sz val="22"/>
      <color rgb="FF000000"/>
      <name val="Century Gothic"/>
    </font>
    <font>
      <sz val="24"/>
      <color rgb="FF000000"/>
      <name val="Century Gothic"/>
    </font>
    <font>
      <sz val="10"/>
      <color rgb="FF000000"/>
      <name val="Calibri"/>
    </font>
    <font>
      <b/>
      <sz val="11"/>
      <color rgb="FF000000"/>
      <name val="Century Gothic"/>
    </font>
    <font>
      <b/>
      <sz val="14"/>
      <color rgb="FF000000"/>
      <name val="Century Gothic"/>
    </font>
    <font>
      <sz val="10"/>
      <color rgb="FFED7D31"/>
      <name val="Century Gothic"/>
    </font>
    <font>
      <sz val="12"/>
      <color theme="1"/>
      <name val="Century Gothic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  <fill>
      <patternFill patternType="solid">
        <fgColor rgb="FFD9D9D9"/>
        <bgColor rgb="FFD9D9D9"/>
      </patternFill>
    </fill>
    <fill>
      <patternFill patternType="solid">
        <fgColor rgb="FFDAEEF3"/>
        <bgColor rgb="FFDAEEF3"/>
      </patternFill>
    </fill>
    <fill>
      <patternFill patternType="solid">
        <fgColor rgb="FFDBDBDB"/>
        <bgColor rgb="FFDBDBDB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rgb="FF000000"/>
      </patternFill>
    </fill>
    <fill>
      <patternFill patternType="solid">
        <fgColor rgb="FFDEEAF6"/>
        <bgColor rgb="FFDEEAF6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A5A5A5"/>
      </left>
      <right/>
      <top/>
      <bottom/>
      <diagonal/>
    </border>
    <border>
      <left style="hair">
        <color rgb="FFA5A5A5"/>
      </left>
      <right/>
      <top style="hair">
        <color rgb="FFA5A5A5"/>
      </top>
      <bottom style="hair">
        <color rgb="FFA5A5A5"/>
      </bottom>
      <diagonal/>
    </border>
    <border>
      <left/>
      <right/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/>
      <top/>
      <bottom style="dotted">
        <color theme="5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dotted">
        <color theme="5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dotted">
        <color rgb="FFED7D31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hair">
        <color rgb="FF7F7F7F"/>
      </bottom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38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" fillId="6" borderId="5" xfId="0" applyNumberFormat="1" applyFont="1" applyFill="1" applyBorder="1" applyAlignment="1">
      <alignment horizontal="left" vertical="center"/>
    </xf>
    <xf numFmtId="49" fontId="1" fillId="6" borderId="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2" fillId="6" borderId="5" xfId="0" applyNumberFormat="1" applyFont="1" applyFill="1" applyBorder="1" applyAlignment="1">
      <alignment horizontal="left" vertical="center"/>
    </xf>
    <xf numFmtId="49" fontId="12" fillId="6" borderId="6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9" fillId="7" borderId="7" xfId="0" applyNumberFormat="1" applyFont="1" applyFill="1" applyBorder="1" applyAlignment="1">
      <alignment horizontal="center" vertical="center"/>
    </xf>
    <xf numFmtId="165" fontId="9" fillId="6" borderId="7" xfId="0" applyNumberFormat="1" applyFont="1" applyFill="1" applyBorder="1" applyAlignment="1">
      <alignment horizontal="center" vertical="center"/>
    </xf>
    <xf numFmtId="9" fontId="9" fillId="8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8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8" borderId="7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9" fillId="7" borderId="7" xfId="0" applyFont="1" applyFill="1" applyBorder="1" applyAlignment="1">
      <alignment horizontal="center" vertical="center"/>
    </xf>
    <xf numFmtId="166" fontId="9" fillId="8" borderId="11" xfId="0" applyNumberFormat="1" applyFont="1" applyFill="1" applyBorder="1" applyAlignment="1">
      <alignment horizontal="center" vertical="center"/>
    </xf>
    <xf numFmtId="49" fontId="9" fillId="6" borderId="12" xfId="0" applyNumberFormat="1" applyFont="1" applyFill="1" applyBorder="1" applyAlignment="1">
      <alignment horizontal="center" vertical="center"/>
    </xf>
    <xf numFmtId="166" fontId="9" fillId="8" borderId="7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166" fontId="9" fillId="6" borderId="7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5" borderId="22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49" fontId="9" fillId="7" borderId="7" xfId="0" applyNumberFormat="1" applyFont="1" applyFill="1" applyBorder="1" applyAlignment="1">
      <alignment horizontal="left" vertical="center"/>
    </xf>
    <xf numFmtId="0" fontId="4" fillId="0" borderId="0" xfId="0" applyFont="1"/>
    <xf numFmtId="0" fontId="19" fillId="0" borderId="0" xfId="0" applyFont="1"/>
    <xf numFmtId="0" fontId="20" fillId="10" borderId="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" fillId="0" borderId="0" xfId="0" applyFont="1"/>
    <xf numFmtId="0" fontId="23" fillId="11" borderId="1" xfId="0" applyFont="1" applyFill="1" applyBorder="1"/>
    <xf numFmtId="0" fontId="18" fillId="11" borderId="1" xfId="0" applyFont="1" applyFill="1" applyBorder="1"/>
    <xf numFmtId="0" fontId="24" fillId="11" borderId="1" xfId="0" applyFont="1" applyFill="1" applyBorder="1"/>
    <xf numFmtId="0" fontId="25" fillId="0" borderId="0" xfId="0" applyFont="1" applyAlignment="1">
      <alignment horizontal="left"/>
    </xf>
    <xf numFmtId="0" fontId="19" fillId="5" borderId="1" xfId="0" applyFont="1" applyFill="1" applyBorder="1"/>
    <xf numFmtId="0" fontId="2" fillId="6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9" fontId="3" fillId="6" borderId="29" xfId="0" applyNumberFormat="1" applyFont="1" applyFill="1" applyBorder="1"/>
    <xf numFmtId="0" fontId="15" fillId="0" borderId="0" xfId="0" applyFont="1"/>
    <xf numFmtId="4" fontId="3" fillId="6" borderId="29" xfId="0" applyNumberFormat="1" applyFont="1" applyFill="1" applyBorder="1"/>
    <xf numFmtId="9" fontId="3" fillId="0" borderId="0" xfId="0" applyNumberFormat="1" applyFont="1"/>
    <xf numFmtId="1" fontId="9" fillId="6" borderId="29" xfId="0" applyNumberFormat="1" applyFont="1" applyFill="1" applyBorder="1"/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166" fontId="3" fillId="6" borderId="29" xfId="0" applyNumberFormat="1" applyFont="1" applyFill="1" applyBorder="1"/>
    <xf numFmtId="9" fontId="3" fillId="6" borderId="2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30" xfId="0" applyFont="1" applyBorder="1"/>
    <xf numFmtId="0" fontId="27" fillId="0" borderId="30" xfId="0" applyFont="1" applyBorder="1"/>
    <xf numFmtId="0" fontId="30" fillId="0" borderId="30" xfId="0" applyFont="1" applyBorder="1"/>
    <xf numFmtId="9" fontId="25" fillId="3" borderId="1" xfId="0" applyNumberFormat="1" applyFont="1" applyFill="1" applyBorder="1" applyAlignment="1">
      <alignment horizontal="left"/>
    </xf>
    <xf numFmtId="2" fontId="3" fillId="0" borderId="0" xfId="0" applyNumberFormat="1" applyFont="1"/>
    <xf numFmtId="0" fontId="13" fillId="0" borderId="0" xfId="0" applyFont="1"/>
    <xf numFmtId="166" fontId="3" fillId="5" borderId="29" xfId="0" applyNumberFormat="1" applyFont="1" applyFill="1" applyBorder="1"/>
    <xf numFmtId="0" fontId="26" fillId="0" borderId="0" xfId="0" applyFont="1"/>
    <xf numFmtId="166" fontId="3" fillId="0" borderId="0" xfId="0" applyNumberFormat="1" applyFont="1"/>
    <xf numFmtId="0" fontId="31" fillId="0" borderId="0" xfId="0" applyFont="1"/>
    <xf numFmtId="9" fontId="3" fillId="5" borderId="29" xfId="0" applyNumberFormat="1" applyFont="1" applyFill="1" applyBorder="1"/>
    <xf numFmtId="0" fontId="28" fillId="0" borderId="0" xfId="0" applyFont="1"/>
    <xf numFmtId="0" fontId="22" fillId="0" borderId="0" xfId="0" applyFont="1"/>
    <xf numFmtId="2" fontId="2" fillId="0" borderId="0" xfId="0" applyNumberFormat="1" applyFont="1"/>
    <xf numFmtId="0" fontId="32" fillId="0" borderId="0" xfId="0" applyFont="1" applyAlignment="1">
      <alignment horizontal="center" vertical="center"/>
    </xf>
    <xf numFmtId="166" fontId="19" fillId="5" borderId="29" xfId="0" applyNumberFormat="1" applyFont="1" applyFill="1" applyBorder="1"/>
    <xf numFmtId="166" fontId="3" fillId="6" borderId="1" xfId="0" applyNumberFormat="1" applyFont="1" applyFill="1" applyBorder="1"/>
    <xf numFmtId="0" fontId="33" fillId="0" borderId="0" xfId="0" applyFont="1"/>
    <xf numFmtId="0" fontId="34" fillId="0" borderId="0" xfId="0" applyFont="1"/>
    <xf numFmtId="0" fontId="5" fillId="0" borderId="0" xfId="0" applyFont="1" applyAlignment="1">
      <alignment horizontal="center" vertical="center"/>
    </xf>
    <xf numFmtId="166" fontId="35" fillId="12" borderId="0" xfId="0" applyNumberFormat="1" applyFont="1" applyFill="1" applyAlignment="1">
      <alignment horizontal="center" vertical="center"/>
    </xf>
    <xf numFmtId="166" fontId="33" fillId="12" borderId="0" xfId="0" applyNumberFormat="1" applyFont="1" applyFill="1"/>
    <xf numFmtId="0" fontId="36" fillId="0" borderId="0" xfId="0" applyFont="1"/>
    <xf numFmtId="166" fontId="3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166" fontId="40" fillId="6" borderId="1" xfId="0" applyNumberFormat="1" applyFont="1" applyFill="1" applyBorder="1" applyAlignment="1">
      <alignment horizontal="right" vertical="center"/>
    </xf>
    <xf numFmtId="9" fontId="40" fillId="0" borderId="0" xfId="0" applyNumberFormat="1" applyFont="1" applyAlignment="1">
      <alignment horizontal="right" vertical="center"/>
    </xf>
    <xf numFmtId="166" fontId="30" fillId="0" borderId="30" xfId="0" applyNumberFormat="1" applyFont="1" applyBorder="1"/>
    <xf numFmtId="0" fontId="39" fillId="0" borderId="0" xfId="0" applyFont="1" applyAlignment="1">
      <alignment vertical="center"/>
    </xf>
    <xf numFmtId="9" fontId="4" fillId="3" borderId="31" xfId="0" applyNumberFormat="1" applyFont="1" applyFill="1" applyBorder="1" applyAlignment="1">
      <alignment vertical="center"/>
    </xf>
    <xf numFmtId="167" fontId="41" fillId="0" borderId="32" xfId="0" applyNumberFormat="1" applyFont="1" applyBorder="1" applyAlignment="1">
      <alignment vertical="center"/>
    </xf>
    <xf numFmtId="166" fontId="39" fillId="5" borderId="31" xfId="0" applyNumberFormat="1" applyFont="1" applyFill="1" applyBorder="1" applyAlignment="1">
      <alignment vertical="center"/>
    </xf>
    <xf numFmtId="9" fontId="4" fillId="0" borderId="32" xfId="0" applyNumberFormat="1" applyFont="1" applyBorder="1" applyAlignment="1">
      <alignment vertical="center"/>
    </xf>
    <xf numFmtId="166" fontId="4" fillId="5" borderId="31" xfId="0" applyNumberFormat="1" applyFont="1" applyFill="1" applyBorder="1" applyAlignment="1">
      <alignment vertical="center"/>
    </xf>
    <xf numFmtId="0" fontId="39" fillId="0" borderId="32" xfId="0" applyFont="1" applyBorder="1" applyAlignment="1">
      <alignment horizontal="left" vertical="center"/>
    </xf>
    <xf numFmtId="167" fontId="42" fillId="0" borderId="0" xfId="0" applyNumberFormat="1" applyFont="1" applyAlignment="1">
      <alignment vertical="center"/>
    </xf>
    <xf numFmtId="166" fontId="39" fillId="5" borderId="1" xfId="0" applyNumberFormat="1" applyFont="1" applyFill="1" applyBorder="1" applyAlignment="1">
      <alignment vertical="center"/>
    </xf>
    <xf numFmtId="166" fontId="39" fillId="1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167" fontId="42" fillId="0" borderId="32" xfId="0" applyNumberFormat="1" applyFont="1" applyBorder="1" applyAlignment="1">
      <alignment vertical="center"/>
    </xf>
    <xf numFmtId="166" fontId="39" fillId="6" borderId="31" xfId="0" applyNumberFormat="1" applyFont="1" applyFill="1" applyBorder="1" applyAlignment="1">
      <alignment vertical="center"/>
    </xf>
    <xf numFmtId="166" fontId="39" fillId="13" borderId="31" xfId="0" applyNumberFormat="1" applyFont="1" applyFill="1" applyBorder="1" applyAlignment="1">
      <alignment vertical="center"/>
    </xf>
    <xf numFmtId="0" fontId="43" fillId="0" borderId="0" xfId="0" applyFont="1"/>
    <xf numFmtId="0" fontId="19" fillId="0" borderId="0" xfId="0" applyFont="1" applyAlignment="1">
      <alignment vertical="center"/>
    </xf>
    <xf numFmtId="0" fontId="44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0" fontId="45" fillId="0" borderId="32" xfId="0" applyFont="1" applyBorder="1" applyAlignment="1">
      <alignment vertical="center"/>
    </xf>
    <xf numFmtId="167" fontId="46" fillId="0" borderId="32" xfId="0" applyNumberFormat="1" applyFont="1" applyBorder="1" applyAlignment="1">
      <alignment vertical="center"/>
    </xf>
    <xf numFmtId="166" fontId="45" fillId="13" borderId="31" xfId="0" applyNumberFormat="1" applyFont="1" applyFill="1" applyBorder="1" applyAlignment="1">
      <alignment vertical="center"/>
    </xf>
    <xf numFmtId="0" fontId="47" fillId="0" borderId="0" xfId="0" applyFont="1"/>
    <xf numFmtId="0" fontId="25" fillId="0" borderId="0" xfId="0" applyFont="1" applyAlignment="1">
      <alignment vertical="center"/>
    </xf>
    <xf numFmtId="0" fontId="46" fillId="0" borderId="32" xfId="0" applyFont="1" applyBorder="1" applyAlignment="1">
      <alignment horizontal="right" vertical="center"/>
    </xf>
    <xf numFmtId="166" fontId="28" fillId="13" borderId="31" xfId="0" applyNumberFormat="1" applyFont="1" applyFill="1" applyBorder="1" applyAlignment="1">
      <alignment vertical="center"/>
    </xf>
    <xf numFmtId="166" fontId="45" fillId="5" borderId="31" xfId="0" applyNumberFormat="1" applyFont="1" applyFill="1" applyBorder="1" applyAlignment="1">
      <alignment vertical="center"/>
    </xf>
    <xf numFmtId="166" fontId="28" fillId="6" borderId="31" xfId="0" applyNumberFormat="1" applyFont="1" applyFill="1" applyBorder="1" applyAlignment="1">
      <alignment vertical="center"/>
    </xf>
    <xf numFmtId="168" fontId="31" fillId="0" borderId="0" xfId="0" applyNumberFormat="1" applyFont="1"/>
    <xf numFmtId="166" fontId="4" fillId="13" borderId="31" xfId="0" applyNumberFormat="1" applyFont="1" applyFill="1" applyBorder="1" applyAlignment="1">
      <alignment vertical="center"/>
    </xf>
    <xf numFmtId="166" fontId="4" fillId="6" borderId="31" xfId="0" applyNumberFormat="1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7" fillId="0" borderId="33" xfId="0" applyFont="1" applyBorder="1"/>
    <xf numFmtId="166" fontId="48" fillId="0" borderId="33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29" fillId="0" borderId="30" xfId="0" applyFont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166" fontId="4" fillId="6" borderId="1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169" fontId="42" fillId="0" borderId="34" xfId="0" applyNumberFormat="1" applyFont="1" applyBorder="1" applyAlignment="1">
      <alignment vertical="center"/>
    </xf>
    <xf numFmtId="166" fontId="39" fillId="0" borderId="34" xfId="0" applyNumberFormat="1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166" fontId="30" fillId="0" borderId="30" xfId="0" applyNumberFormat="1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vertical="center"/>
    </xf>
    <xf numFmtId="170" fontId="4" fillId="0" borderId="0" xfId="0" applyNumberFormat="1" applyFont="1" applyAlignment="1">
      <alignment vertical="center"/>
    </xf>
    <xf numFmtId="171" fontId="4" fillId="0" borderId="0" xfId="0" applyNumberFormat="1" applyFont="1" applyAlignment="1">
      <alignment vertical="center"/>
    </xf>
    <xf numFmtId="0" fontId="31" fillId="0" borderId="0" xfId="0" applyFont="1" applyAlignment="1">
      <alignment wrapText="1"/>
    </xf>
    <xf numFmtId="0" fontId="50" fillId="0" borderId="0" xfId="0" applyFont="1" applyAlignment="1"/>
    <xf numFmtId="0" fontId="50" fillId="0" borderId="35" xfId="0" applyFont="1" applyBorder="1" applyAlignment="1"/>
    <xf numFmtId="172" fontId="51" fillId="14" borderId="35" xfId="0" applyNumberFormat="1" applyFont="1" applyFill="1" applyBorder="1" applyAlignment="1">
      <alignment horizontal="right"/>
    </xf>
    <xf numFmtId="172" fontId="51" fillId="6" borderId="35" xfId="0" applyNumberFormat="1" applyFont="1" applyFill="1" applyBorder="1" applyAlignment="1">
      <alignment horizontal="right"/>
    </xf>
    <xf numFmtId="172" fontId="52" fillId="6" borderId="35" xfId="0" applyNumberFormat="1" applyFont="1" applyFill="1" applyBorder="1" applyAlignment="1">
      <alignment horizontal="right"/>
    </xf>
    <xf numFmtId="4" fontId="50" fillId="5" borderId="35" xfId="0" applyNumberFormat="1" applyFont="1" applyFill="1" applyBorder="1" applyAlignment="1">
      <alignment horizontal="right"/>
    </xf>
    <xf numFmtId="0" fontId="53" fillId="5" borderId="35" xfId="0" applyFont="1" applyFill="1" applyBorder="1" applyAlignment="1"/>
    <xf numFmtId="172" fontId="54" fillId="5" borderId="35" xfId="0" applyNumberFormat="1" applyFont="1" applyFill="1" applyBorder="1" applyAlignment="1">
      <alignment horizontal="right"/>
    </xf>
    <xf numFmtId="173" fontId="52" fillId="6" borderId="35" xfId="0" applyNumberFormat="1" applyFont="1" applyFill="1" applyBorder="1" applyAlignment="1">
      <alignment horizontal="right"/>
    </xf>
    <xf numFmtId="174" fontId="52" fillId="6" borderId="35" xfId="0" applyNumberFormat="1" applyFont="1" applyFill="1" applyBorder="1" applyAlignment="1">
      <alignment horizontal="right"/>
    </xf>
    <xf numFmtId="175" fontId="50" fillId="6" borderId="0" xfId="0" applyNumberFormat="1" applyFont="1" applyFill="1" applyAlignment="1">
      <alignment horizontal="right"/>
    </xf>
    <xf numFmtId="0" fontId="50" fillId="5" borderId="35" xfId="0" applyFont="1" applyFill="1" applyBorder="1" applyAlignment="1"/>
    <xf numFmtId="0" fontId="50" fillId="5" borderId="35" xfId="0" applyFont="1" applyFill="1" applyBorder="1" applyAlignment="1">
      <alignment horizontal="right"/>
    </xf>
    <xf numFmtId="172" fontId="50" fillId="0" borderId="0" xfId="0" applyNumberFormat="1" applyFont="1" applyAlignment="1">
      <alignment horizontal="right"/>
    </xf>
    <xf numFmtId="0" fontId="50" fillId="0" borderId="36" xfId="0" applyFont="1" applyBorder="1" applyAlignment="1"/>
    <xf numFmtId="172" fontId="50" fillId="0" borderId="36" xfId="0" applyNumberFormat="1" applyFont="1" applyBorder="1" applyAlignment="1">
      <alignment horizontal="right"/>
    </xf>
    <xf numFmtId="0" fontId="50" fillId="5" borderId="37" xfId="0" applyFont="1" applyFill="1" applyBorder="1" applyAlignment="1">
      <alignment horizontal="right"/>
    </xf>
    <xf numFmtId="0" fontId="50" fillId="5" borderId="38" xfId="0" applyFont="1" applyFill="1" applyBorder="1" applyAlignment="1"/>
    <xf numFmtId="172" fontId="50" fillId="5" borderId="38" xfId="0" applyNumberFormat="1" applyFont="1" applyFill="1" applyBorder="1" applyAlignment="1">
      <alignment horizontal="right"/>
    </xf>
    <xf numFmtId="172" fontId="50" fillId="5" borderId="39" xfId="0" applyNumberFormat="1" applyFont="1" applyFill="1" applyBorder="1" applyAlignment="1">
      <alignment horizontal="right"/>
    </xf>
    <xf numFmtId="0" fontId="43" fillId="15" borderId="40" xfId="0" applyFont="1" applyFill="1" applyBorder="1" applyAlignment="1">
      <alignment horizontal="center"/>
    </xf>
    <xf numFmtId="0" fontId="50" fillId="5" borderId="41" xfId="0" applyFont="1" applyFill="1" applyBorder="1" applyAlignment="1">
      <alignment horizontal="right"/>
    </xf>
    <xf numFmtId="172" fontId="50" fillId="5" borderId="35" xfId="0" applyNumberFormat="1" applyFont="1" applyFill="1" applyBorder="1" applyAlignment="1">
      <alignment horizontal="right"/>
    </xf>
    <xf numFmtId="172" fontId="50" fillId="5" borderId="42" xfId="0" applyNumberFormat="1" applyFont="1" applyFill="1" applyBorder="1" applyAlignment="1">
      <alignment horizontal="right"/>
    </xf>
    <xf numFmtId="0" fontId="33" fillId="15" borderId="43" xfId="0" applyFont="1" applyFill="1" applyBorder="1" applyAlignment="1"/>
    <xf numFmtId="176" fontId="33" fillId="15" borderId="43" xfId="0" applyNumberFormat="1" applyFont="1" applyFill="1" applyBorder="1" applyAlignment="1">
      <alignment horizontal="right"/>
    </xf>
    <xf numFmtId="172" fontId="50" fillId="5" borderId="35" xfId="0" applyNumberFormat="1" applyFont="1" applyFill="1" applyBorder="1" applyAlignment="1"/>
    <xf numFmtId="0" fontId="50" fillId="5" borderId="44" xfId="0" applyFont="1" applyFill="1" applyBorder="1" applyAlignment="1">
      <alignment horizontal="right"/>
    </xf>
    <xf numFmtId="0" fontId="50" fillId="5" borderId="45" xfId="0" applyFont="1" applyFill="1" applyBorder="1" applyAlignment="1"/>
    <xf numFmtId="172" fontId="50" fillId="5" borderId="45" xfId="0" applyNumberFormat="1" applyFont="1" applyFill="1" applyBorder="1" applyAlignment="1">
      <alignment horizontal="right"/>
    </xf>
    <xf numFmtId="172" fontId="50" fillId="5" borderId="46" xfId="0" applyNumberFormat="1" applyFont="1" applyFill="1" applyBorder="1" applyAlignment="1">
      <alignment horizontal="right"/>
    </xf>
    <xf numFmtId="172" fontId="50" fillId="5" borderId="38" xfId="0" applyNumberFormat="1" applyFont="1" applyFill="1" applyBorder="1" applyAlignment="1"/>
    <xf numFmtId="172" fontId="50" fillId="0" borderId="0" xfId="0" applyNumberFormat="1" applyFont="1" applyAlignment="1"/>
    <xf numFmtId="166" fontId="27" fillId="0" borderId="0" xfId="0" applyNumberFormat="1" applyFont="1" applyAlignment="1">
      <alignment vertical="center"/>
    </xf>
    <xf numFmtId="0" fontId="55" fillId="0" borderId="0" xfId="0" applyFont="1"/>
    <xf numFmtId="166" fontId="56" fillId="0" borderId="0" xfId="0" applyNumberFormat="1" applyFont="1" applyAlignment="1">
      <alignment horizontal="center" vertical="center"/>
    </xf>
    <xf numFmtId="0" fontId="57" fillId="0" borderId="47" xfId="0" applyFont="1" applyBorder="1"/>
    <xf numFmtId="166" fontId="30" fillId="0" borderId="47" xfId="0" applyNumberFormat="1" applyFont="1" applyBorder="1"/>
    <xf numFmtId="0" fontId="56" fillId="0" borderId="0" xfId="0" applyFont="1" applyAlignment="1">
      <alignment vertical="center"/>
    </xf>
    <xf numFmtId="166" fontId="56" fillId="14" borderId="1" xfId="0" applyNumberFormat="1" applyFont="1" applyFill="1" applyBorder="1" applyAlignment="1">
      <alignment vertical="center"/>
    </xf>
    <xf numFmtId="166" fontId="10" fillId="16" borderId="31" xfId="0" applyNumberFormat="1" applyFont="1" applyFill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166" fontId="56" fillId="14" borderId="1" xfId="0" applyNumberFormat="1" applyFont="1" applyFill="1" applyBorder="1" applyAlignment="1">
      <alignment horizontal="left" vertical="center"/>
    </xf>
    <xf numFmtId="0" fontId="10" fillId="0" borderId="48" xfId="0" applyFont="1" applyBorder="1" applyAlignment="1">
      <alignment vertical="center"/>
    </xf>
    <xf numFmtId="166" fontId="58" fillId="0" borderId="47" xfId="0" applyNumberFormat="1" applyFont="1" applyBorder="1" applyAlignment="1">
      <alignment vertical="center"/>
    </xf>
    <xf numFmtId="0" fontId="27" fillId="17" borderId="1" xfId="0" applyFont="1" applyFill="1" applyBorder="1" applyAlignment="1">
      <alignment vertical="center"/>
    </xf>
    <xf numFmtId="166" fontId="27" fillId="17" borderId="1" xfId="0" applyNumberFormat="1" applyFont="1" applyFill="1" applyBorder="1" applyAlignment="1">
      <alignment vertical="center"/>
    </xf>
    <xf numFmtId="0" fontId="59" fillId="0" borderId="0" xfId="0" applyFont="1" applyAlignment="1">
      <alignment horizontal="center" vertical="center"/>
    </xf>
    <xf numFmtId="9" fontId="59" fillId="0" borderId="0" xfId="0" applyNumberFormat="1" applyFont="1" applyAlignment="1">
      <alignment horizontal="center" vertical="center"/>
    </xf>
    <xf numFmtId="166" fontId="60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31" fillId="0" borderId="0" xfId="0" applyFont="1" applyAlignment="1">
      <alignment vertical="center"/>
    </xf>
    <xf numFmtId="166" fontId="29" fillId="0" borderId="30" xfId="0" applyNumberFormat="1" applyFont="1" applyBorder="1" applyAlignment="1">
      <alignment vertical="center"/>
    </xf>
    <xf numFmtId="9" fontId="13" fillId="3" borderId="31" xfId="0" applyNumberFormat="1" applyFont="1" applyFill="1" applyBorder="1" applyAlignment="1">
      <alignment vertical="center"/>
    </xf>
    <xf numFmtId="166" fontId="4" fillId="0" borderId="32" xfId="0" applyNumberFormat="1" applyFont="1" applyBorder="1" applyAlignment="1">
      <alignment vertical="center"/>
    </xf>
    <xf numFmtId="9" fontId="39" fillId="0" borderId="32" xfId="0" applyNumberFormat="1" applyFont="1" applyBorder="1" applyAlignment="1">
      <alignment vertical="center"/>
    </xf>
    <xf numFmtId="166" fontId="39" fillId="0" borderId="0" xfId="0" applyNumberFormat="1" applyFont="1" applyAlignment="1">
      <alignment vertical="center"/>
    </xf>
    <xf numFmtId="166" fontId="63" fillId="0" borderId="0" xfId="0" applyNumberFormat="1" applyFont="1"/>
    <xf numFmtId="166" fontId="19" fillId="0" borderId="0" xfId="0" applyNumberFormat="1" applyFont="1"/>
    <xf numFmtId="0" fontId="37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horizontal="right"/>
    </xf>
    <xf numFmtId="0" fontId="2" fillId="0" borderId="32" xfId="0" applyFont="1" applyBorder="1"/>
    <xf numFmtId="169" fontId="41" fillId="0" borderId="32" xfId="0" applyNumberFormat="1" applyFont="1" applyBorder="1"/>
    <xf numFmtId="169" fontId="4" fillId="0" borderId="32" xfId="0" applyNumberFormat="1" applyFont="1" applyBorder="1"/>
    <xf numFmtId="166" fontId="4" fillId="5" borderId="31" xfId="0" applyNumberFormat="1" applyFont="1" applyFill="1" applyBorder="1"/>
    <xf numFmtId="0" fontId="13" fillId="0" borderId="32" xfId="0" applyFont="1" applyBorder="1"/>
    <xf numFmtId="169" fontId="13" fillId="0" borderId="32" xfId="0" applyNumberFormat="1" applyFont="1" applyBorder="1"/>
    <xf numFmtId="166" fontId="13" fillId="0" borderId="32" xfId="0" applyNumberFormat="1" applyFont="1" applyBorder="1"/>
    <xf numFmtId="166" fontId="4" fillId="6" borderId="31" xfId="0" applyNumberFormat="1" applyFont="1" applyFill="1" applyBorder="1"/>
    <xf numFmtId="166" fontId="2" fillId="6" borderId="31" xfId="0" applyNumberFormat="1" applyFont="1" applyFill="1" applyBorder="1"/>
    <xf numFmtId="0" fontId="13" fillId="0" borderId="34" xfId="0" applyFont="1" applyBorder="1"/>
    <xf numFmtId="169" fontId="42" fillId="0" borderId="34" xfId="0" applyNumberFormat="1" applyFont="1" applyBorder="1"/>
    <xf numFmtId="166" fontId="39" fillId="0" borderId="34" xfId="0" applyNumberFormat="1" applyFont="1" applyBorder="1"/>
    <xf numFmtId="169" fontId="41" fillId="0" borderId="0" xfId="0" applyNumberFormat="1" applyFont="1"/>
    <xf numFmtId="166" fontId="4" fillId="0" borderId="0" xfId="0" applyNumberFormat="1" applyFont="1"/>
    <xf numFmtId="0" fontId="2" fillId="0" borderId="49" xfId="0" applyFont="1" applyBorder="1"/>
    <xf numFmtId="169" fontId="41" fillId="0" borderId="49" xfId="0" applyNumberFormat="1" applyFont="1" applyBorder="1"/>
    <xf numFmtId="166" fontId="4" fillId="0" borderId="49" xfId="0" applyNumberFormat="1" applyFont="1" applyBorder="1"/>
    <xf numFmtId="166" fontId="4" fillId="6" borderId="50" xfId="0" applyNumberFormat="1" applyFont="1" applyFill="1" applyBorder="1"/>
    <xf numFmtId="0" fontId="64" fillId="0" borderId="51" xfId="0" applyFont="1" applyBorder="1"/>
    <xf numFmtId="169" fontId="65" fillId="0" borderId="51" xfId="0" applyNumberFormat="1" applyFont="1" applyBorder="1"/>
    <xf numFmtId="166" fontId="66" fillId="0" borderId="51" xfId="0" applyNumberFormat="1" applyFont="1" applyBorder="1"/>
    <xf numFmtId="0" fontId="67" fillId="3" borderId="1" xfId="0" applyFont="1" applyFill="1" applyBorder="1" applyAlignment="1">
      <alignment vertical="center"/>
    </xf>
    <xf numFmtId="0" fontId="68" fillId="3" borderId="1" xfId="0" applyFont="1" applyFill="1" applyBorder="1"/>
    <xf numFmtId="168" fontId="68" fillId="3" borderId="1" xfId="0" applyNumberFormat="1" applyFont="1" applyFill="1" applyBorder="1"/>
    <xf numFmtId="0" fontId="69" fillId="0" borderId="0" xfId="0" applyFont="1"/>
    <xf numFmtId="168" fontId="9" fillId="0" borderId="0" xfId="0" applyNumberFormat="1" applyFont="1"/>
    <xf numFmtId="0" fontId="69" fillId="0" borderId="0" xfId="0" applyFont="1" applyAlignment="1">
      <alignment horizontal="center"/>
    </xf>
    <xf numFmtId="168" fontId="9" fillId="5" borderId="1" xfId="0" applyNumberFormat="1" applyFont="1" applyFill="1" applyBorder="1"/>
    <xf numFmtId="0" fontId="70" fillId="0" borderId="52" xfId="0" applyFont="1" applyBorder="1" applyAlignment="1">
      <alignment horizontal="left" vertical="center"/>
    </xf>
    <xf numFmtId="0" fontId="71" fillId="0" borderId="52" xfId="0" applyFont="1" applyBorder="1" applyAlignment="1">
      <alignment horizontal="center"/>
    </xf>
    <xf numFmtId="168" fontId="68" fillId="5" borderId="53" xfId="0" applyNumberFormat="1" applyFont="1" applyFill="1" applyBorder="1"/>
    <xf numFmtId="177" fontId="3" fillId="0" borderId="0" xfId="0" applyNumberFormat="1" applyFont="1"/>
    <xf numFmtId="0" fontId="31" fillId="0" borderId="0" xfId="0" applyFont="1" applyAlignment="1">
      <alignment horizontal="center"/>
    </xf>
    <xf numFmtId="0" fontId="31" fillId="0" borderId="35" xfId="0" applyFont="1" applyBorder="1" applyAlignment="1">
      <alignment horizontal="left"/>
    </xf>
    <xf numFmtId="0" fontId="31" fillId="0" borderId="35" xfId="0" applyFont="1" applyBorder="1" applyAlignment="1">
      <alignment horizontal="center"/>
    </xf>
    <xf numFmtId="49" fontId="31" fillId="0" borderId="35" xfId="0" applyNumberFormat="1" applyFont="1" applyBorder="1" applyAlignment="1">
      <alignment horizontal="center"/>
    </xf>
    <xf numFmtId="49" fontId="31" fillId="0" borderId="0" xfId="0" applyNumberFormat="1" applyFont="1"/>
    <xf numFmtId="166" fontId="31" fillId="0" borderId="35" xfId="0" applyNumberFormat="1" applyFont="1" applyBorder="1" applyAlignment="1">
      <alignment horizontal="center"/>
    </xf>
    <xf numFmtId="166" fontId="31" fillId="0" borderId="0" xfId="0" applyNumberFormat="1" applyFont="1"/>
    <xf numFmtId="9" fontId="31" fillId="0" borderId="35" xfId="0" applyNumberFormat="1" applyFont="1" applyBorder="1" applyAlignment="1">
      <alignment horizontal="center"/>
    </xf>
    <xf numFmtId="49" fontId="31" fillId="0" borderId="35" xfId="0" applyNumberFormat="1" applyFont="1" applyBorder="1" applyAlignment="1">
      <alignment horizontal="left"/>
    </xf>
    <xf numFmtId="0" fontId="31" fillId="18" borderId="1" xfId="0" applyFont="1" applyFill="1" applyBorder="1"/>
    <xf numFmtId="0" fontId="31" fillId="18" borderId="1" xfId="0" applyFont="1" applyFill="1" applyBorder="1" applyAlignment="1">
      <alignment horizontal="center"/>
    </xf>
    <xf numFmtId="0" fontId="31" fillId="19" borderId="1" xfId="0" applyFont="1" applyFill="1" applyBorder="1" applyAlignment="1">
      <alignment horizontal="center"/>
    </xf>
    <xf numFmtId="0" fontId="31" fillId="19" borderId="1" xfId="0" applyFont="1" applyFill="1" applyBorder="1"/>
    <xf numFmtId="0" fontId="72" fillId="2" borderId="1" xfId="0" applyFont="1" applyFill="1" applyBorder="1" applyAlignment="1">
      <alignment vertical="center"/>
    </xf>
    <xf numFmtId="0" fontId="27" fillId="19" borderId="1" xfId="0" applyFont="1" applyFill="1" applyBorder="1"/>
    <xf numFmtId="0" fontId="72" fillId="0" borderId="0" xfId="0" applyFont="1" applyAlignment="1">
      <alignment vertical="center"/>
    </xf>
    <xf numFmtId="0" fontId="73" fillId="0" borderId="0" xfId="0" applyFont="1"/>
    <xf numFmtId="0" fontId="9" fillId="0" borderId="0" xfId="0" applyFont="1"/>
    <xf numFmtId="178" fontId="9" fillId="0" borderId="0" xfId="0" applyNumberFormat="1" applyFont="1" applyAlignment="1">
      <alignment horizontal="center" vertical="center"/>
    </xf>
    <xf numFmtId="0" fontId="74" fillId="0" borderId="0" xfId="0" applyFont="1"/>
    <xf numFmtId="0" fontId="27" fillId="0" borderId="0" xfId="0" applyFont="1"/>
    <xf numFmtId="168" fontId="27" fillId="0" borderId="0" xfId="0" applyNumberFormat="1" applyFont="1"/>
    <xf numFmtId="0" fontId="2" fillId="0" borderId="0" xfId="0" applyFont="1" applyAlignment="1">
      <alignment vertical="center"/>
    </xf>
    <xf numFmtId="179" fontId="13" fillId="0" borderId="0" xfId="0" applyNumberFormat="1" applyFont="1" applyAlignment="1">
      <alignment vertical="center"/>
    </xf>
    <xf numFmtId="168" fontId="27" fillId="0" borderId="34" xfId="0" applyNumberFormat="1" applyFont="1" applyBorder="1"/>
    <xf numFmtId="166" fontId="3" fillId="5" borderId="57" xfId="0" applyNumberFormat="1" applyFont="1" applyFill="1" applyBorder="1"/>
    <xf numFmtId="166" fontId="3" fillId="5" borderId="31" xfId="0" applyNumberFormat="1" applyFont="1" applyFill="1" applyBorder="1"/>
    <xf numFmtId="0" fontId="75" fillId="2" borderId="1" xfId="0" applyFont="1" applyFill="1" applyBorder="1" applyAlignment="1">
      <alignment horizontal="center" vertical="center"/>
    </xf>
    <xf numFmtId="0" fontId="75" fillId="19" borderId="1" xfId="0" applyFont="1" applyFill="1" applyBorder="1"/>
    <xf numFmtId="0" fontId="75" fillId="0" borderId="0" xfId="0" applyFont="1"/>
    <xf numFmtId="166" fontId="19" fillId="5" borderId="31" xfId="0" applyNumberFormat="1" applyFont="1" applyFill="1" applyBorder="1"/>
    <xf numFmtId="0" fontId="49" fillId="0" borderId="0" xfId="0" applyFont="1"/>
    <xf numFmtId="0" fontId="76" fillId="2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13" fillId="20" borderId="1" xfId="0" applyFont="1" applyFill="1" applyBorder="1" applyAlignment="1">
      <alignment vertical="center"/>
    </xf>
    <xf numFmtId="9" fontId="13" fillId="20" borderId="1" xfId="0" applyNumberFormat="1" applyFont="1" applyFill="1" applyBorder="1" applyAlignment="1">
      <alignment vertical="center"/>
    </xf>
    <xf numFmtId="168" fontId="13" fillId="0" borderId="0" xfId="0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8" fontId="2" fillId="0" borderId="0" xfId="0" applyNumberFormat="1" applyFont="1"/>
    <xf numFmtId="168" fontId="19" fillId="20" borderId="1" xfId="0" applyNumberFormat="1" applyFont="1" applyFill="1" applyBorder="1"/>
    <xf numFmtId="0" fontId="19" fillId="20" borderId="1" xfId="0" applyFont="1" applyFill="1" applyBorder="1" applyAlignment="1">
      <alignment vertical="center"/>
    </xf>
    <xf numFmtId="0" fontId="46" fillId="20" borderId="1" xfId="0" applyFont="1" applyFill="1" applyBorder="1" applyAlignment="1">
      <alignment horizontal="right" vertical="center"/>
    </xf>
    <xf numFmtId="1" fontId="8" fillId="20" borderId="1" xfId="0" applyNumberFormat="1" applyFont="1" applyFill="1" applyBorder="1"/>
    <xf numFmtId="2" fontId="8" fillId="20" borderId="1" xfId="0" applyNumberFormat="1" applyFont="1" applyFill="1" applyBorder="1"/>
    <xf numFmtId="0" fontId="29" fillId="0" borderId="0" xfId="0" applyFont="1"/>
    <xf numFmtId="0" fontId="30" fillId="0" borderId="0" xfId="0" applyFont="1"/>
    <xf numFmtId="168" fontId="30" fillId="0" borderId="0" xfId="0" applyNumberFormat="1" applyFont="1"/>
    <xf numFmtId="0" fontId="2" fillId="0" borderId="60" xfId="0" applyFont="1" applyBorder="1" applyAlignment="1">
      <alignment vertical="center"/>
    </xf>
    <xf numFmtId="0" fontId="2" fillId="0" borderId="60" xfId="0" applyFont="1" applyBorder="1"/>
    <xf numFmtId="166" fontId="3" fillId="5" borderId="61" xfId="0" applyNumberFormat="1" applyFont="1" applyFill="1" applyBorder="1"/>
    <xf numFmtId="0" fontId="13" fillId="0" borderId="0" xfId="0" quotePrefix="1" applyFont="1"/>
    <xf numFmtId="0" fontId="77" fillId="0" borderId="0" xfId="0" applyFont="1"/>
    <xf numFmtId="0" fontId="78" fillId="19" borderId="1" xfId="0" applyFont="1" applyFill="1" applyBorder="1" applyAlignment="1">
      <alignment vertical="center"/>
    </xf>
    <xf numFmtId="0" fontId="78" fillId="0" borderId="0" xfId="0" applyFont="1"/>
    <xf numFmtId="180" fontId="78" fillId="0" borderId="0" xfId="0" applyNumberFormat="1" applyFont="1"/>
    <xf numFmtId="181" fontId="13" fillId="20" borderId="1" xfId="0" applyNumberFormat="1" applyFont="1" applyFill="1" applyBorder="1" applyAlignment="1">
      <alignment vertical="center"/>
    </xf>
    <xf numFmtId="0" fontId="13" fillId="0" borderId="60" xfId="0" applyFont="1" applyBorder="1" applyAlignment="1">
      <alignment vertical="center"/>
    </xf>
    <xf numFmtId="166" fontId="3" fillId="5" borderId="62" xfId="0" applyNumberFormat="1" applyFont="1" applyFill="1" applyBorder="1"/>
    <xf numFmtId="166" fontId="3" fillId="5" borderId="1" xfId="0" applyNumberFormat="1" applyFont="1" applyFill="1" applyBorder="1"/>
    <xf numFmtId="0" fontId="58" fillId="0" borderId="0" xfId="0" quotePrefix="1" applyFont="1"/>
    <xf numFmtId="0" fontId="27" fillId="2" borderId="1" xfId="0" applyFont="1" applyFill="1" applyBorder="1"/>
    <xf numFmtId="0" fontId="2" fillId="19" borderId="1" xfId="0" applyFont="1" applyFill="1" applyBorder="1"/>
    <xf numFmtId="0" fontId="2" fillId="3" borderId="1" xfId="0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6" fillId="4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5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9" fillId="6" borderId="5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10" fillId="0" borderId="0" xfId="0" applyFont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9" fillId="6" borderId="8" xfId="0" applyNumberFormat="1" applyFont="1" applyFill="1" applyBorder="1" applyAlignment="1">
      <alignment horizontal="left" vertical="top" wrapText="1"/>
    </xf>
    <xf numFmtId="0" fontId="7" fillId="0" borderId="9" xfId="0" applyFont="1" applyBorder="1"/>
    <xf numFmtId="0" fontId="7" fillId="0" borderId="10" xfId="0" applyFont="1" applyBorder="1"/>
    <xf numFmtId="49" fontId="9" fillId="6" borderId="12" xfId="0" applyNumberFormat="1" applyFont="1" applyFill="1" applyBorder="1" applyAlignment="1">
      <alignment horizontal="left" vertical="center"/>
    </xf>
    <xf numFmtId="0" fontId="7" fillId="0" borderId="21" xfId="0" applyFont="1" applyBorder="1"/>
    <xf numFmtId="49" fontId="9" fillId="6" borderId="14" xfId="0" applyNumberFormat="1" applyFont="1" applyFill="1" applyBorder="1" applyAlignment="1">
      <alignment horizontal="left" vertical="top" wrapText="1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49" fontId="9" fillId="6" borderId="14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" fillId="6" borderId="26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9" fontId="3" fillId="6" borderId="26" xfId="0" applyNumberFormat="1" applyFont="1" applyFill="1" applyBorder="1" applyAlignment="1">
      <alignment horizontal="center"/>
    </xf>
    <xf numFmtId="2" fontId="2" fillId="6" borderId="25" xfId="0" applyNumberFormat="1" applyFont="1" applyFill="1" applyBorder="1" applyAlignment="1">
      <alignment horizontal="center"/>
    </xf>
    <xf numFmtId="2" fontId="18" fillId="9" borderId="25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36" xfId="0" applyFont="1" applyBorder="1" applyAlignment="1">
      <alignment horizontal="center"/>
    </xf>
    <xf numFmtId="0" fontId="7" fillId="0" borderId="56" xfId="0" applyFont="1" applyBorder="1"/>
    <xf numFmtId="0" fontId="31" fillId="0" borderId="54" xfId="0" applyFont="1" applyBorder="1" applyAlignment="1">
      <alignment horizontal="center"/>
    </xf>
    <xf numFmtId="0" fontId="7" fillId="0" borderId="49" xfId="0" applyFont="1" applyBorder="1"/>
    <xf numFmtId="0" fontId="7" fillId="0" borderId="55" xfId="0" applyFont="1" applyBorder="1"/>
    <xf numFmtId="49" fontId="31" fillId="0" borderId="36" xfId="0" applyNumberFormat="1" applyFont="1" applyBorder="1" applyAlignment="1">
      <alignment horizontal="center"/>
    </xf>
    <xf numFmtId="0" fontId="1" fillId="2" borderId="58" xfId="0" applyFont="1" applyFill="1" applyBorder="1" applyAlignment="1">
      <alignment horizontal="center" vertical="center"/>
    </xf>
    <xf numFmtId="0" fontId="7" fillId="0" borderId="59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Volume CA, EBE et RN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Chiffre d'affaire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Données_Graph!$B$6:$F$6</c:f>
              <c:numCache>
                <c:formatCode>_ * #\ ##0_)\ _C_F_A_ ;_ * \(#\ ##0\)\ _C_F_A_ ;_ * "-"_)\ _C_F_A_ ;_ @_ </c:formatCode>
                <c:ptCount val="5"/>
                <c:pt idx="0">
                  <c:v>78475000</c:v>
                </c:pt>
                <c:pt idx="1">
                  <c:v>86158250</c:v>
                </c:pt>
                <c:pt idx="2">
                  <c:v>94769147.5</c:v>
                </c:pt>
                <c:pt idx="3">
                  <c:v>104429874.425</c:v>
                </c:pt>
                <c:pt idx="4">
                  <c:v>115279409.03275001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97-4061-AFDE-009FD83CC6C1}"/>
            </c:ext>
          </c:extLst>
        </c:ser>
        <c:ser>
          <c:idx val="1"/>
          <c:order val="1"/>
          <c:tx>
            <c:v>Exédent Brut d'exploitation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Données_Graph!$B$7:$F$7</c:f>
              <c:numCache>
                <c:formatCode>_ * #\ ##0_)\ _C_F_A_ ;_ * \(#\ ##0\)\ _C_F_A_ ;_ * "-"_)\ _C_F_A_ ;_ @_ </c:formatCode>
                <c:ptCount val="5"/>
                <c:pt idx="0">
                  <c:v>20005400</c:v>
                </c:pt>
                <c:pt idx="1">
                  <c:v>27181650</c:v>
                </c:pt>
                <c:pt idx="2">
                  <c:v>35275737.5</c:v>
                </c:pt>
                <c:pt idx="3">
                  <c:v>44409634.125</c:v>
                </c:pt>
                <c:pt idx="4">
                  <c:v>54722102.963750012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397-4061-AFDE-009FD83CC6C1}"/>
            </c:ext>
          </c:extLst>
        </c:ser>
        <c:ser>
          <c:idx val="2"/>
          <c:order val="2"/>
          <c:tx>
            <c:v>Résultat d'exploitation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Données_Graph!$B$8:$F$8</c:f>
              <c:numCache>
                <c:formatCode>_ * #\ ##0_)\ _C_F_A_ ;_ * \(#\ ##0\)\ _C_F_A_ ;_ * "-"_)\ _C_F_A_ ;_ @_ </c:formatCode>
                <c:ptCount val="5"/>
                <c:pt idx="0">
                  <c:v>13856750.476314455</c:v>
                </c:pt>
                <c:pt idx="1">
                  <c:v>20476431.273295514</c:v>
                </c:pt>
                <c:pt idx="2">
                  <c:v>27897093.303781204</c:v>
                </c:pt>
                <c:pt idx="3">
                  <c:v>36215401.324667297</c:v>
                </c:pt>
                <c:pt idx="4">
                  <c:v>45622131.559727415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397-4061-AFDE-009FD83C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75046"/>
        <c:axId val="136013709"/>
      </c:barChart>
      <c:catAx>
        <c:axId val="6210750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6013709"/>
        <c:crosses val="autoZero"/>
        <c:auto val="1"/>
        <c:lblAlgn val="ctr"/>
        <c:lblOffset val="100"/>
        <c:noMultiLvlLbl val="1"/>
      </c:catAx>
      <c:valAx>
        <c:axId val="13601370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2107504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 et RN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Chiffre d'affaire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Données_Graph!$B$6:$F$6</c:f>
              <c:numCache>
                <c:formatCode>_ * #\ ##0_)\ _C_F_A_ ;_ * \(#\ ##0\)\ _C_F_A_ ;_ * "-"_)\ _C_F_A_ ;_ @_ </c:formatCode>
                <c:ptCount val="5"/>
                <c:pt idx="0">
                  <c:v>78475000</c:v>
                </c:pt>
                <c:pt idx="1">
                  <c:v>86158250</c:v>
                </c:pt>
                <c:pt idx="2">
                  <c:v>94769147.5</c:v>
                </c:pt>
                <c:pt idx="3">
                  <c:v>104429874.425</c:v>
                </c:pt>
                <c:pt idx="4">
                  <c:v>115279409.03275001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9-4E54-BBE2-BB8B7B1EDD49}"/>
            </c:ext>
          </c:extLst>
        </c:ser>
        <c:ser>
          <c:idx val="1"/>
          <c:order val="1"/>
          <c:tx>
            <c:v>Résultat net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Données_Graph!$B$9:$F$9</c:f>
              <c:numCache>
                <c:formatCode>_ * #\ ##0_)\ _C_F_A_ ;_ * \(#\ ##0\)\ _C_F_A_ ;_ * "-"_)\ _C_F_A_ ;_ @_ </c:formatCode>
                <c:ptCount val="5"/>
                <c:pt idx="0">
                  <c:v>9699725.3334201183</c:v>
                </c:pt>
                <c:pt idx="1">
                  <c:v>14333501.89130686</c:v>
                </c:pt>
                <c:pt idx="2">
                  <c:v>19527965.312646843</c:v>
                </c:pt>
                <c:pt idx="3">
                  <c:v>25350780.927267108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9-4E54-BBE2-BB8B7B1E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6214501"/>
        <c:axId val="1233028485"/>
      </c:lineChart>
      <c:catAx>
        <c:axId val="1486214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33028485"/>
        <c:crosses val="autoZero"/>
        <c:auto val="1"/>
        <c:lblAlgn val="ctr"/>
        <c:lblOffset val="100"/>
        <c:noMultiLvlLbl val="1"/>
      </c:catAx>
      <c:valAx>
        <c:axId val="123302848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862145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Envol CA, EBE, REX et RN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Données_Graph!$I$6:$M$6</c:f>
              <c:numCache>
                <c:formatCode>0%</c:formatCode>
                <c:ptCount val="5"/>
                <c:pt idx="0">
                  <c:v>0</c:v>
                </c:pt>
                <c:pt idx="1">
                  <c:v>9.7906976744186053E-2</c:v>
                </c:pt>
                <c:pt idx="2">
                  <c:v>9.9942808726964621E-2</c:v>
                </c:pt>
                <c:pt idx="3">
                  <c:v>0.10193957822613101</c:v>
                </c:pt>
                <c:pt idx="4">
                  <c:v>0.10389301593522446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2-4515-8936-6B41D9A9D8B5}"/>
            </c:ext>
          </c:extLst>
        </c:ser>
        <c:ser>
          <c:idx val="1"/>
          <c:order val="1"/>
          <c:tx>
            <c:v>EBE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Données_Graph!$I$7:$M$7</c:f>
              <c:numCache>
                <c:formatCode>0%</c:formatCode>
                <c:ptCount val="5"/>
                <c:pt idx="0">
                  <c:v>0</c:v>
                </c:pt>
                <c:pt idx="1">
                  <c:v>0.35871564677537066</c:v>
                </c:pt>
                <c:pt idx="2">
                  <c:v>0.29777763675126417</c:v>
                </c:pt>
                <c:pt idx="3">
                  <c:v>0.25892858016079751</c:v>
                </c:pt>
                <c:pt idx="4">
                  <c:v>0.23221242511756479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2-4515-8936-6B41D9A9D8B5}"/>
            </c:ext>
          </c:extLst>
        </c:ser>
        <c:ser>
          <c:idx val="2"/>
          <c:order val="2"/>
          <c:tx>
            <c:v>REX</c:v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val>
            <c:numRef>
              <c:f>Données_Graph!$I$8:$M$8</c:f>
              <c:numCache>
                <c:formatCode>0%</c:formatCode>
                <c:ptCount val="5"/>
                <c:pt idx="0">
                  <c:v>0</c:v>
                </c:pt>
                <c:pt idx="1">
                  <c:v>0.47772245075035275</c:v>
                </c:pt>
                <c:pt idx="2">
                  <c:v>0.36240016296997024</c:v>
                </c:pt>
                <c:pt idx="3">
                  <c:v>0.29817830590108901</c:v>
                </c:pt>
                <c:pt idx="4">
                  <c:v>0.2597439180841809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2-4515-8936-6B41D9A9D8B5}"/>
            </c:ext>
          </c:extLst>
        </c:ser>
        <c:ser>
          <c:idx val="3"/>
          <c:order val="3"/>
          <c:tx>
            <c:v>RN</c:v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Données_Graph!$I$9:$M$9</c:f>
              <c:numCache>
                <c:formatCode>0%</c:formatCode>
                <c:ptCount val="5"/>
                <c:pt idx="0">
                  <c:v>0</c:v>
                </c:pt>
                <c:pt idx="1">
                  <c:v>0.4777224507503528</c:v>
                </c:pt>
                <c:pt idx="2">
                  <c:v>0.36240016296997024</c:v>
                </c:pt>
                <c:pt idx="3">
                  <c:v>0.29817830590108896</c:v>
                </c:pt>
                <c:pt idx="4">
                  <c:v>0.2597439180841809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92-4515-8936-6B41D9A9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813161"/>
        <c:axId val="1134905100"/>
      </c:lineChart>
      <c:catAx>
        <c:axId val="18118131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34905100"/>
        <c:crosses val="autoZero"/>
        <c:auto val="1"/>
        <c:lblAlgn val="ctr"/>
        <c:lblOffset val="100"/>
        <c:noMultiLvlLbl val="1"/>
      </c:catAx>
      <c:valAx>
        <c:axId val="11349051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118131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Quantité de pain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Nombre d'éléve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Données_Graph!$B$14:$F$14</c:f>
              <c:numCache>
                <c:formatCode>_ * #\ ##0_)\ _C_F_A_ ;_ * \(#\ ##0\)\ _C_F_A_ ;_ * "-"_)\ _C_F_A_ ;_ @_ </c:formatCode>
                <c:ptCount val="5"/>
                <c:pt idx="0">
                  <c:v>15</c:v>
                </c:pt>
                <c:pt idx="1">
                  <c:v>16.329999999999998</c:v>
                </c:pt>
                <c:pt idx="2">
                  <c:v>17.817900000000002</c:v>
                </c:pt>
                <c:pt idx="3">
                  <c:v>19.484737000000003</c:v>
                </c:pt>
                <c:pt idx="4">
                  <c:v>21.354484110000001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F-4DB8-96FC-9897743A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033864"/>
        <c:axId val="321158604"/>
      </c:lineChart>
      <c:catAx>
        <c:axId val="2098033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21158604"/>
        <c:crosses val="autoZero"/>
        <c:auto val="1"/>
        <c:lblAlgn val="ctr"/>
        <c:lblOffset val="100"/>
        <c:noMultiLvlLbl val="1"/>
      </c:catAx>
      <c:valAx>
        <c:axId val="3211586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980338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Cashflow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Cashflow IN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Données_Graph!$B$21:$F$21</c:f>
              <c:numCache>
                <c:formatCode>_ * #\ ##0_)\ _C_F_A_ ;_ * \(#\ ##0\)\ _C_F_A_ ;_ * "-"_)\ _C_F_A_ ;_ @_ </c:formatCode>
                <c:ptCount val="5"/>
                <c:pt idx="0">
                  <c:v>53229725.33342012</c:v>
                </c:pt>
                <c:pt idx="1">
                  <c:v>18563501.891306862</c:v>
                </c:pt>
                <c:pt idx="2">
                  <c:v>23757965.312646843</c:v>
                </c:pt>
                <c:pt idx="3">
                  <c:v>29580780.927267108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C-4715-A7C5-B3124E244502}"/>
            </c:ext>
          </c:extLst>
        </c:ser>
        <c:ser>
          <c:idx val="1"/>
          <c:order val="1"/>
          <c:tx>
            <c:v>Cashflow OUT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Données_Graph!$B$22:$F$22</c:f>
              <c:numCache>
                <c:formatCode>_ * #\ ##0_)\ _C_F_A_ ;_ * \(#\ ##0\)\ _C_F_A_ ;_ * "-"_)\ _C_F_A_ ;_ @_ </c:formatCode>
                <c:ptCount val="5"/>
                <c:pt idx="0">
                  <c:v>50040681.442235015</c:v>
                </c:pt>
                <c:pt idx="1">
                  <c:v>10740681.442235017</c:v>
                </c:pt>
                <c:pt idx="2">
                  <c:v>9627323.1167529505</c:v>
                </c:pt>
                <c:pt idx="3">
                  <c:v>9627323.1167529523</c:v>
                </c:pt>
                <c:pt idx="4">
                  <c:v>9627323.1167529505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C-4715-A7C5-B3124E24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618586"/>
        <c:axId val="1818849810"/>
      </c:lineChart>
      <c:catAx>
        <c:axId val="4496185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18849810"/>
        <c:crosses val="autoZero"/>
        <c:auto val="1"/>
        <c:lblAlgn val="ctr"/>
        <c:lblOffset val="100"/>
        <c:noMultiLvlLbl val="1"/>
      </c:catAx>
      <c:valAx>
        <c:axId val="181884981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496185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CAF et Cashflow Net</a:t>
            </a:r>
          </a:p>
        </c:rich>
      </c:tx>
      <c:layout>
        <c:manualLayout>
          <c:xMode val="edge"/>
          <c:yMode val="edge"/>
          <c:x val="0.26284471994312297"/>
          <c:y val="5.0167210868983E-2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CAF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Données_Graph!$B$20:$F$20</c:f>
              <c:numCache>
                <c:formatCode>_ * #\ ##0_)\ _C_F_A_ ;_ * \(#\ ##0\)\ _C_F_A_ ;_ * "-"_)\ _C_F_A_ ;_ @_ </c:formatCode>
                <c:ptCount val="5"/>
                <c:pt idx="0">
                  <c:v>13929725.333420118</c:v>
                </c:pt>
                <c:pt idx="1">
                  <c:v>18563501.891306862</c:v>
                </c:pt>
                <c:pt idx="2">
                  <c:v>23757965.312646843</c:v>
                </c:pt>
                <c:pt idx="3">
                  <c:v>29580780.927267108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B-4797-93C8-2D37CA6DBF8E}"/>
            </c:ext>
          </c:extLst>
        </c:ser>
        <c:ser>
          <c:idx val="1"/>
          <c:order val="1"/>
          <c:tx>
            <c:v>Cashflow Net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Données_Graph!$B$23:$F$23</c:f>
              <c:numCache>
                <c:formatCode>_ * #\ ##0_)\ _C_F_A_ ;_ * \(#\ ##0\)\ _C_F_A_ ;_ * "-"_)\ _C_F_A_ ;_ @_ </c:formatCode>
                <c:ptCount val="5"/>
                <c:pt idx="0">
                  <c:v>3189043.8911851048</c:v>
                </c:pt>
                <c:pt idx="1">
                  <c:v>7822820.449071845</c:v>
                </c:pt>
                <c:pt idx="2">
                  <c:v>14130642.195893893</c:v>
                </c:pt>
                <c:pt idx="3">
                  <c:v>19953457.810514156</c:v>
                </c:pt>
                <c:pt idx="4">
                  <c:v>22308168.975056238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B-4797-93C8-2D37CA6DB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970929"/>
        <c:axId val="251563282"/>
      </c:lineChart>
      <c:catAx>
        <c:axId val="6759709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51563282"/>
        <c:crosses val="autoZero"/>
        <c:auto val="1"/>
        <c:lblAlgn val="ctr"/>
        <c:lblOffset val="100"/>
        <c:noMultiLvlLbl val="1"/>
      </c:catAx>
      <c:valAx>
        <c:axId val="25156328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759709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Volume CA, EBE et RN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Chiffre d'affaire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Données_Graph!$B$6:$F$6</c:f>
              <c:numCache>
                <c:formatCode>_ * #\ ##0_)\ _C_F_A_ ;_ * \(#\ ##0\)\ _C_F_A_ ;_ * "-"_)\ _C_F_A_ ;_ @_ </c:formatCode>
                <c:ptCount val="5"/>
                <c:pt idx="0">
                  <c:v>78475000</c:v>
                </c:pt>
                <c:pt idx="1">
                  <c:v>86158250</c:v>
                </c:pt>
                <c:pt idx="2">
                  <c:v>94769147.5</c:v>
                </c:pt>
                <c:pt idx="3">
                  <c:v>104429874.425</c:v>
                </c:pt>
                <c:pt idx="4">
                  <c:v>115279409.03275001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697-42DF-BE77-E0A09E522616}"/>
            </c:ext>
          </c:extLst>
        </c:ser>
        <c:ser>
          <c:idx val="1"/>
          <c:order val="1"/>
          <c:tx>
            <c:v>Exédent Brut d'exploitation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Données_Graph!$B$7:$F$7</c:f>
              <c:numCache>
                <c:formatCode>_ * #\ ##0_)\ _C_F_A_ ;_ * \(#\ ##0\)\ _C_F_A_ ;_ * "-"_)\ _C_F_A_ ;_ @_ </c:formatCode>
                <c:ptCount val="5"/>
                <c:pt idx="0">
                  <c:v>20005400</c:v>
                </c:pt>
                <c:pt idx="1">
                  <c:v>27181650</c:v>
                </c:pt>
                <c:pt idx="2">
                  <c:v>35275737.5</c:v>
                </c:pt>
                <c:pt idx="3">
                  <c:v>44409634.125</c:v>
                </c:pt>
                <c:pt idx="4">
                  <c:v>54722102.963750012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697-42DF-BE77-E0A09E522616}"/>
            </c:ext>
          </c:extLst>
        </c:ser>
        <c:ser>
          <c:idx val="2"/>
          <c:order val="2"/>
          <c:tx>
            <c:v>Résultat d'exploitation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Données_Graph!$B$8:$F$8</c:f>
              <c:numCache>
                <c:formatCode>_ * #\ ##0_)\ _C_F_A_ ;_ * \(#\ ##0\)\ _C_F_A_ ;_ * "-"_)\ _C_F_A_ ;_ @_ </c:formatCode>
                <c:ptCount val="5"/>
                <c:pt idx="0">
                  <c:v>13856750.476314455</c:v>
                </c:pt>
                <c:pt idx="1">
                  <c:v>20476431.273295514</c:v>
                </c:pt>
                <c:pt idx="2">
                  <c:v>27897093.303781204</c:v>
                </c:pt>
                <c:pt idx="3">
                  <c:v>36215401.324667297</c:v>
                </c:pt>
                <c:pt idx="4">
                  <c:v>45622131.559727415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697-42DF-BE77-E0A09E52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578679"/>
        <c:axId val="1617052302"/>
      </c:barChart>
      <c:catAx>
        <c:axId val="1211578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17052302"/>
        <c:crosses val="autoZero"/>
        <c:auto val="1"/>
        <c:lblAlgn val="ctr"/>
        <c:lblOffset val="100"/>
        <c:noMultiLvlLbl val="1"/>
      </c:catAx>
      <c:valAx>
        <c:axId val="161705230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1157867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 et RN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Chiffre d'affaire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Données_Graph!$B$6:$F$6</c:f>
              <c:numCache>
                <c:formatCode>_ * #\ ##0_)\ _C_F_A_ ;_ * \(#\ ##0\)\ _C_F_A_ ;_ * "-"_)\ _C_F_A_ ;_ @_ </c:formatCode>
                <c:ptCount val="5"/>
                <c:pt idx="0">
                  <c:v>78475000</c:v>
                </c:pt>
                <c:pt idx="1">
                  <c:v>86158250</c:v>
                </c:pt>
                <c:pt idx="2">
                  <c:v>94769147.5</c:v>
                </c:pt>
                <c:pt idx="3">
                  <c:v>104429874.425</c:v>
                </c:pt>
                <c:pt idx="4">
                  <c:v>115279409.03275001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8B-444E-B439-42180D95E0EB}"/>
            </c:ext>
          </c:extLst>
        </c:ser>
        <c:ser>
          <c:idx val="1"/>
          <c:order val="1"/>
          <c:tx>
            <c:v>Résultat net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Données_Graph!$B$9:$F$9</c:f>
              <c:numCache>
                <c:formatCode>_ * #\ ##0_)\ _C_F_A_ ;_ * \(#\ ##0\)\ _C_F_A_ ;_ * "-"_)\ _C_F_A_ ;_ @_ </c:formatCode>
                <c:ptCount val="5"/>
                <c:pt idx="0">
                  <c:v>9699725.3334201183</c:v>
                </c:pt>
                <c:pt idx="1">
                  <c:v>14333501.89130686</c:v>
                </c:pt>
                <c:pt idx="2">
                  <c:v>19527965.312646843</c:v>
                </c:pt>
                <c:pt idx="3">
                  <c:v>25350780.927267108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B-444E-B439-42180D95E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278926"/>
        <c:axId val="444215273"/>
      </c:lineChart>
      <c:catAx>
        <c:axId val="600278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44215273"/>
        <c:crosses val="autoZero"/>
        <c:auto val="1"/>
        <c:lblAlgn val="ctr"/>
        <c:lblOffset val="100"/>
        <c:noMultiLvlLbl val="1"/>
      </c:catAx>
      <c:valAx>
        <c:axId val="44421527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002789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Envol CA, EBE, REX et RN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Données_Graph!$I$6:$M$6</c:f>
              <c:numCache>
                <c:formatCode>0%</c:formatCode>
                <c:ptCount val="5"/>
                <c:pt idx="0">
                  <c:v>0</c:v>
                </c:pt>
                <c:pt idx="1">
                  <c:v>9.7906976744186053E-2</c:v>
                </c:pt>
                <c:pt idx="2">
                  <c:v>9.9942808726964621E-2</c:v>
                </c:pt>
                <c:pt idx="3">
                  <c:v>0.10193957822613101</c:v>
                </c:pt>
                <c:pt idx="4">
                  <c:v>0.10389301593522446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A-4866-94B1-C8EB2485227D}"/>
            </c:ext>
          </c:extLst>
        </c:ser>
        <c:ser>
          <c:idx val="1"/>
          <c:order val="1"/>
          <c:tx>
            <c:v>EBE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Données_Graph!$I$7:$M$7</c:f>
              <c:numCache>
                <c:formatCode>0%</c:formatCode>
                <c:ptCount val="5"/>
                <c:pt idx="0">
                  <c:v>0</c:v>
                </c:pt>
                <c:pt idx="1">
                  <c:v>0.35871564677537066</c:v>
                </c:pt>
                <c:pt idx="2">
                  <c:v>0.29777763675126417</c:v>
                </c:pt>
                <c:pt idx="3">
                  <c:v>0.25892858016079751</c:v>
                </c:pt>
                <c:pt idx="4">
                  <c:v>0.23221242511756479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A-4866-94B1-C8EB2485227D}"/>
            </c:ext>
          </c:extLst>
        </c:ser>
        <c:ser>
          <c:idx val="2"/>
          <c:order val="2"/>
          <c:tx>
            <c:v>REX</c:v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val>
            <c:numRef>
              <c:f>Données_Graph!$I$8:$M$8</c:f>
              <c:numCache>
                <c:formatCode>0%</c:formatCode>
                <c:ptCount val="5"/>
                <c:pt idx="0">
                  <c:v>0</c:v>
                </c:pt>
                <c:pt idx="1">
                  <c:v>0.47772245075035275</c:v>
                </c:pt>
                <c:pt idx="2">
                  <c:v>0.36240016296997024</c:v>
                </c:pt>
                <c:pt idx="3">
                  <c:v>0.29817830590108901</c:v>
                </c:pt>
                <c:pt idx="4">
                  <c:v>0.2597439180841809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A-4866-94B1-C8EB2485227D}"/>
            </c:ext>
          </c:extLst>
        </c:ser>
        <c:ser>
          <c:idx val="3"/>
          <c:order val="3"/>
          <c:tx>
            <c:v>RN</c:v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Données_Graph!$I$9:$M$9</c:f>
              <c:numCache>
                <c:formatCode>0%</c:formatCode>
                <c:ptCount val="5"/>
                <c:pt idx="0">
                  <c:v>0</c:v>
                </c:pt>
                <c:pt idx="1">
                  <c:v>0.4777224507503528</c:v>
                </c:pt>
                <c:pt idx="2">
                  <c:v>0.36240016296997024</c:v>
                </c:pt>
                <c:pt idx="3">
                  <c:v>0.29817830590108896</c:v>
                </c:pt>
                <c:pt idx="4">
                  <c:v>0.2597439180841809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3A-4866-94B1-C8EB2485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534781"/>
        <c:axId val="1293592298"/>
      </c:lineChart>
      <c:catAx>
        <c:axId val="8725347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93592298"/>
        <c:crosses val="autoZero"/>
        <c:auto val="1"/>
        <c:lblAlgn val="ctr"/>
        <c:lblOffset val="100"/>
        <c:noMultiLvlLbl val="1"/>
      </c:catAx>
      <c:valAx>
        <c:axId val="129359229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725347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quantité de pain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90299615675988"/>
          <c:y val="0.19391832624021299"/>
          <c:w val="0.38719510432021298"/>
          <c:h val="0.53947889932101001"/>
        </c:manualLayout>
      </c:layout>
      <c:lineChart>
        <c:grouping val="standard"/>
        <c:varyColors val="0"/>
        <c:ser>
          <c:idx val="0"/>
          <c:order val="0"/>
          <c:tx>
            <c:v>Nombre de pains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Données_Graph!$B$14:$F$14</c:f>
              <c:numCache>
                <c:formatCode>_ * #\ ##0_)\ _C_F_A_ ;_ * \(#\ ##0\)\ _C_F_A_ ;_ * "-"_)\ _C_F_A_ ;_ @_ </c:formatCode>
                <c:ptCount val="5"/>
                <c:pt idx="0">
                  <c:v>15</c:v>
                </c:pt>
                <c:pt idx="1">
                  <c:v>16.329999999999998</c:v>
                </c:pt>
                <c:pt idx="2">
                  <c:v>17.817900000000002</c:v>
                </c:pt>
                <c:pt idx="3">
                  <c:v>19.484737000000003</c:v>
                </c:pt>
                <c:pt idx="4">
                  <c:v>21.354484110000001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F-4B06-90FF-1CD54FAF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784861"/>
        <c:axId val="142032245"/>
      </c:lineChart>
      <c:catAx>
        <c:axId val="3487848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2032245"/>
        <c:crosses val="autoZero"/>
        <c:auto val="1"/>
        <c:lblAlgn val="ctr"/>
        <c:lblOffset val="100"/>
        <c:noMultiLvlLbl val="1"/>
      </c:catAx>
      <c:valAx>
        <c:axId val="14203224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487848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Cashflow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Cashflow IN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Données_Graph!$B$21:$F$21</c:f>
              <c:numCache>
                <c:formatCode>_ * #\ ##0_)\ _C_F_A_ ;_ * \(#\ ##0\)\ _C_F_A_ ;_ * "-"_)\ _C_F_A_ ;_ @_ </c:formatCode>
                <c:ptCount val="5"/>
                <c:pt idx="0">
                  <c:v>53229725.33342012</c:v>
                </c:pt>
                <c:pt idx="1">
                  <c:v>18563501.891306862</c:v>
                </c:pt>
                <c:pt idx="2">
                  <c:v>23757965.312646843</c:v>
                </c:pt>
                <c:pt idx="3">
                  <c:v>29580780.927267108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7-41A1-BA03-E712A8E175F2}"/>
            </c:ext>
          </c:extLst>
        </c:ser>
        <c:ser>
          <c:idx val="1"/>
          <c:order val="1"/>
          <c:tx>
            <c:v>Cashflow OUT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Données_Graph!$B$22:$F$22</c:f>
              <c:numCache>
                <c:formatCode>_ * #\ ##0_)\ _C_F_A_ ;_ * \(#\ ##0\)\ _C_F_A_ ;_ * "-"_)\ _C_F_A_ ;_ @_ </c:formatCode>
                <c:ptCount val="5"/>
                <c:pt idx="0">
                  <c:v>50040681.442235015</c:v>
                </c:pt>
                <c:pt idx="1">
                  <c:v>10740681.442235017</c:v>
                </c:pt>
                <c:pt idx="2">
                  <c:v>9627323.1167529505</c:v>
                </c:pt>
                <c:pt idx="3">
                  <c:v>9627323.1167529523</c:v>
                </c:pt>
                <c:pt idx="4">
                  <c:v>9627323.1167529505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7-41A1-BA03-E712A8E1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873632"/>
        <c:axId val="562988228"/>
      </c:lineChart>
      <c:catAx>
        <c:axId val="17678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62988228"/>
        <c:crosses val="autoZero"/>
        <c:auto val="1"/>
        <c:lblAlgn val="ctr"/>
        <c:lblOffset val="100"/>
        <c:noMultiLvlLbl val="1"/>
      </c:catAx>
      <c:valAx>
        <c:axId val="5629882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678736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Evolution CAF et Cashflow Net</a:t>
            </a:r>
          </a:p>
        </c:rich>
      </c:tx>
      <c:layout>
        <c:manualLayout>
          <c:xMode val="edge"/>
          <c:yMode val="edge"/>
          <c:x val="0.26284471994312297"/>
          <c:y val="5.0167210868983E-2"/>
        </c:manualLayout>
      </c:layout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CAF</c:v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val>
            <c:numRef>
              <c:f>Données_Graph!$B$20:$F$20</c:f>
              <c:numCache>
                <c:formatCode>_ * #\ ##0_)\ _C_F_A_ ;_ * \(#\ ##0\)\ _C_F_A_ ;_ * "-"_)\ _C_F_A_ ;_ @_ </c:formatCode>
                <c:ptCount val="5"/>
                <c:pt idx="0">
                  <c:v>13929725.333420118</c:v>
                </c:pt>
                <c:pt idx="1">
                  <c:v>18563501.891306862</c:v>
                </c:pt>
                <c:pt idx="2">
                  <c:v>23757965.312646843</c:v>
                </c:pt>
                <c:pt idx="3">
                  <c:v>29580780.927267108</c:v>
                </c:pt>
                <c:pt idx="4">
                  <c:v>31935492.091809191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5-4D34-B99E-DF27FE932727}"/>
            </c:ext>
          </c:extLst>
        </c:ser>
        <c:ser>
          <c:idx val="1"/>
          <c:order val="1"/>
          <c:tx>
            <c:v>Cashflow Net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val>
            <c:numRef>
              <c:f>Données_Graph!$B$23:$F$23</c:f>
              <c:numCache>
                <c:formatCode>_ * #\ ##0_)\ _C_F_A_ ;_ * \(#\ ##0\)\ _C_F_A_ ;_ * "-"_)\ _C_F_A_ ;_ @_ </c:formatCode>
                <c:ptCount val="5"/>
                <c:pt idx="0">
                  <c:v>3189043.8911851048</c:v>
                </c:pt>
                <c:pt idx="1">
                  <c:v>7822820.449071845</c:v>
                </c:pt>
                <c:pt idx="2">
                  <c:v>14130642.195893893</c:v>
                </c:pt>
                <c:pt idx="3">
                  <c:v>19953457.810514156</c:v>
                </c:pt>
                <c:pt idx="4">
                  <c:v>22308168.975056238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5-4D34-B99E-DF27FE93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399064"/>
        <c:axId val="381766214"/>
      </c:lineChart>
      <c:catAx>
        <c:axId val="62239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81766214"/>
        <c:crosses val="autoZero"/>
        <c:auto val="1"/>
        <c:lblAlgn val="ctr"/>
        <c:lblOffset val="100"/>
        <c:noMultiLvlLbl val="1"/>
      </c:catAx>
      <c:valAx>
        <c:axId val="38176621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_ * #\ ##0_)\ _C_F_A_ ;_ * \(#\ ##0\)\ _C_F_A_ ;_ * &quot;-&quot;_)\ _C_F_A_ ;_ @_ 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622399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0</xdr:row>
      <xdr:rowOff>47625</xdr:rowOff>
    </xdr:from>
    <xdr:ext cx="18002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57</xdr:row>
      <xdr:rowOff>0</xdr:rowOff>
    </xdr:from>
    <xdr:ext cx="895350" cy="0"/>
    <xdr:pic>
      <xdr:nvPicPr>
        <xdr:cNvPr id="2" name="image20.png" descr="page53image353004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58</xdr:row>
      <xdr:rowOff>0</xdr:rowOff>
    </xdr:from>
    <xdr:ext cx="762000" cy="0"/>
    <xdr:pic>
      <xdr:nvPicPr>
        <xdr:cNvPr id="3" name="image13.png" descr="page53image352428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62</xdr:row>
      <xdr:rowOff>0</xdr:rowOff>
    </xdr:from>
    <xdr:ext cx="895350" cy="0"/>
    <xdr:pic>
      <xdr:nvPicPr>
        <xdr:cNvPr id="4" name="image3.png" descr="page53image352486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62</xdr:row>
      <xdr:rowOff>0</xdr:rowOff>
    </xdr:from>
    <xdr:ext cx="752475" cy="0"/>
    <xdr:pic>
      <xdr:nvPicPr>
        <xdr:cNvPr id="5" name="image21.png" descr="page53image353081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62</xdr:row>
      <xdr:rowOff>0</xdr:rowOff>
    </xdr:from>
    <xdr:ext cx="647700" cy="0"/>
    <xdr:pic>
      <xdr:nvPicPr>
        <xdr:cNvPr id="6" name="image18.png" descr="page53image353580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62</xdr:row>
      <xdr:rowOff>0</xdr:rowOff>
    </xdr:from>
    <xdr:ext cx="723900" cy="0"/>
    <xdr:pic>
      <xdr:nvPicPr>
        <xdr:cNvPr id="7" name="image17.png" descr="page53image340204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619125</xdr:colOff>
      <xdr:row>62</xdr:row>
      <xdr:rowOff>0</xdr:rowOff>
    </xdr:from>
    <xdr:ext cx="885825" cy="0"/>
    <xdr:pic>
      <xdr:nvPicPr>
        <xdr:cNvPr id="8" name="image3.png" descr="page53image339340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704850</xdr:colOff>
      <xdr:row>62</xdr:row>
      <xdr:rowOff>0</xdr:rowOff>
    </xdr:from>
    <xdr:ext cx="723900" cy="0"/>
    <xdr:pic>
      <xdr:nvPicPr>
        <xdr:cNvPr id="9" name="image17.png" descr="page53image339667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628650</xdr:colOff>
      <xdr:row>62</xdr:row>
      <xdr:rowOff>0</xdr:rowOff>
    </xdr:from>
    <xdr:ext cx="904875" cy="0"/>
    <xdr:pic>
      <xdr:nvPicPr>
        <xdr:cNvPr id="10" name="image5.png" descr="page53image33976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742950</xdr:colOff>
      <xdr:row>62</xdr:row>
      <xdr:rowOff>0</xdr:rowOff>
    </xdr:from>
    <xdr:ext cx="1066800" cy="0"/>
    <xdr:pic>
      <xdr:nvPicPr>
        <xdr:cNvPr id="11" name="image15.png" descr="page53image340512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68</xdr:row>
      <xdr:rowOff>0</xdr:rowOff>
    </xdr:from>
    <xdr:ext cx="895350" cy="0"/>
    <xdr:pic>
      <xdr:nvPicPr>
        <xdr:cNvPr id="12" name="image8.png" descr="page53image340185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68</xdr:row>
      <xdr:rowOff>0</xdr:rowOff>
    </xdr:from>
    <xdr:ext cx="752475" cy="0"/>
    <xdr:pic>
      <xdr:nvPicPr>
        <xdr:cNvPr id="13" name="image2.png" descr="page53image340684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68</xdr:row>
      <xdr:rowOff>0</xdr:rowOff>
    </xdr:from>
    <xdr:ext cx="647700" cy="0"/>
    <xdr:pic>
      <xdr:nvPicPr>
        <xdr:cNvPr id="14" name="image16.png" descr="page53image339456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68</xdr:row>
      <xdr:rowOff>0</xdr:rowOff>
    </xdr:from>
    <xdr:ext cx="723900" cy="0"/>
    <xdr:pic>
      <xdr:nvPicPr>
        <xdr:cNvPr id="15" name="image12.png" descr="page53image339840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619125</xdr:colOff>
      <xdr:row>68</xdr:row>
      <xdr:rowOff>0</xdr:rowOff>
    </xdr:from>
    <xdr:ext cx="885825" cy="0"/>
    <xdr:pic>
      <xdr:nvPicPr>
        <xdr:cNvPr id="16" name="image8.png" descr="page53image34026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704850</xdr:colOff>
      <xdr:row>68</xdr:row>
      <xdr:rowOff>0</xdr:rowOff>
    </xdr:from>
    <xdr:ext cx="723900" cy="0"/>
    <xdr:pic>
      <xdr:nvPicPr>
        <xdr:cNvPr id="17" name="image12.png" descr="page53image339494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628650</xdr:colOff>
      <xdr:row>68</xdr:row>
      <xdr:rowOff>0</xdr:rowOff>
    </xdr:from>
    <xdr:ext cx="904875" cy="0"/>
    <xdr:pic>
      <xdr:nvPicPr>
        <xdr:cNvPr id="18" name="image9.png" descr="page53image33932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742950</xdr:colOff>
      <xdr:row>68</xdr:row>
      <xdr:rowOff>0</xdr:rowOff>
    </xdr:from>
    <xdr:ext cx="1066800" cy="0"/>
    <xdr:pic>
      <xdr:nvPicPr>
        <xdr:cNvPr id="19" name="image6.png" descr="page53image339417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200025</xdr:colOff>
      <xdr:row>68</xdr:row>
      <xdr:rowOff>0</xdr:rowOff>
    </xdr:from>
    <xdr:ext cx="885825" cy="0"/>
    <xdr:pic>
      <xdr:nvPicPr>
        <xdr:cNvPr id="20" name="image20.png" descr="page53image340627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285750</xdr:colOff>
      <xdr:row>68</xdr:row>
      <xdr:rowOff>0</xdr:rowOff>
    </xdr:from>
    <xdr:ext cx="752475" cy="0"/>
    <xdr:pic>
      <xdr:nvPicPr>
        <xdr:cNvPr id="21" name="image13.png" descr="page53image340128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238125</xdr:colOff>
      <xdr:row>68</xdr:row>
      <xdr:rowOff>0</xdr:rowOff>
    </xdr:from>
    <xdr:ext cx="638175" cy="0"/>
    <xdr:pic>
      <xdr:nvPicPr>
        <xdr:cNvPr id="22" name="image14.png" descr="page53image340588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76200</xdr:colOff>
      <xdr:row>68</xdr:row>
      <xdr:rowOff>0</xdr:rowOff>
    </xdr:from>
    <xdr:ext cx="733425" cy="0"/>
    <xdr:pic>
      <xdr:nvPicPr>
        <xdr:cNvPr id="23" name="image11.png" descr="page53image339648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85725</xdr:colOff>
      <xdr:row>68</xdr:row>
      <xdr:rowOff>0</xdr:rowOff>
    </xdr:from>
    <xdr:ext cx="723900" cy="0"/>
    <xdr:pic>
      <xdr:nvPicPr>
        <xdr:cNvPr id="24" name="image10.png" descr="page53image34074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9525</xdr:colOff>
      <xdr:row>68</xdr:row>
      <xdr:rowOff>0</xdr:rowOff>
    </xdr:from>
    <xdr:ext cx="904875" cy="0"/>
    <xdr:pic>
      <xdr:nvPicPr>
        <xdr:cNvPr id="25" name="image7.png" descr="page53image340492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123825</xdr:colOff>
      <xdr:row>68</xdr:row>
      <xdr:rowOff>0</xdr:rowOff>
    </xdr:from>
    <xdr:ext cx="1076325" cy="0"/>
    <xdr:pic>
      <xdr:nvPicPr>
        <xdr:cNvPr id="26" name="image4.png" descr="page53image340435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400050</xdr:colOff>
      <xdr:row>68</xdr:row>
      <xdr:rowOff>0</xdr:rowOff>
    </xdr:from>
    <xdr:ext cx="885825" cy="0"/>
    <xdr:pic>
      <xdr:nvPicPr>
        <xdr:cNvPr id="27" name="image20.png" descr="page53image339571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495300</xdr:colOff>
      <xdr:row>68</xdr:row>
      <xdr:rowOff>0</xdr:rowOff>
    </xdr:from>
    <xdr:ext cx="752475" cy="0"/>
    <xdr:pic>
      <xdr:nvPicPr>
        <xdr:cNvPr id="28" name="image13.png" descr="page53image337625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438150</xdr:colOff>
      <xdr:row>68</xdr:row>
      <xdr:rowOff>0</xdr:rowOff>
    </xdr:from>
    <xdr:ext cx="638175" cy="0"/>
    <xdr:pic>
      <xdr:nvPicPr>
        <xdr:cNvPr id="29" name="image14.png" descr="page53image3383360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276225</xdr:colOff>
      <xdr:row>68</xdr:row>
      <xdr:rowOff>0</xdr:rowOff>
    </xdr:from>
    <xdr:ext cx="723900" cy="0"/>
    <xdr:pic>
      <xdr:nvPicPr>
        <xdr:cNvPr id="30" name="image10.png" descr="page53image337760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200025</xdr:colOff>
      <xdr:row>68</xdr:row>
      <xdr:rowOff>0</xdr:rowOff>
    </xdr:from>
    <xdr:ext cx="885825" cy="0"/>
    <xdr:pic>
      <xdr:nvPicPr>
        <xdr:cNvPr id="31" name="image20.png" descr="page53image3376064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285750</xdr:colOff>
      <xdr:row>68</xdr:row>
      <xdr:rowOff>0</xdr:rowOff>
    </xdr:from>
    <xdr:ext cx="723900" cy="0"/>
    <xdr:pic>
      <xdr:nvPicPr>
        <xdr:cNvPr id="32" name="image10.png" descr="page53image337721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209550</xdr:colOff>
      <xdr:row>68</xdr:row>
      <xdr:rowOff>0</xdr:rowOff>
    </xdr:from>
    <xdr:ext cx="904875" cy="0"/>
    <xdr:pic>
      <xdr:nvPicPr>
        <xdr:cNvPr id="33" name="image7.png" descr="page53image3378368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323850</xdr:colOff>
      <xdr:row>68</xdr:row>
      <xdr:rowOff>0</xdr:rowOff>
    </xdr:from>
    <xdr:ext cx="1076325" cy="0"/>
    <xdr:pic>
      <xdr:nvPicPr>
        <xdr:cNvPr id="34" name="image4.png" descr="page53image3375488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609600</xdr:colOff>
      <xdr:row>68</xdr:row>
      <xdr:rowOff>0</xdr:rowOff>
    </xdr:from>
    <xdr:ext cx="885825" cy="0"/>
    <xdr:pic>
      <xdr:nvPicPr>
        <xdr:cNvPr id="35" name="image8.png" descr="page53image337702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695325</xdr:colOff>
      <xdr:row>68</xdr:row>
      <xdr:rowOff>0</xdr:rowOff>
    </xdr:from>
    <xdr:ext cx="752475" cy="0"/>
    <xdr:pic>
      <xdr:nvPicPr>
        <xdr:cNvPr id="36" name="image2.png" descr="page53image337779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647700</xdr:colOff>
      <xdr:row>68</xdr:row>
      <xdr:rowOff>0</xdr:rowOff>
    </xdr:from>
    <xdr:ext cx="638175" cy="0"/>
    <xdr:pic>
      <xdr:nvPicPr>
        <xdr:cNvPr id="37" name="image16.png" descr="page53image337817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33</xdr:col>
      <xdr:colOff>476250</xdr:colOff>
      <xdr:row>68</xdr:row>
      <xdr:rowOff>0</xdr:rowOff>
    </xdr:from>
    <xdr:ext cx="723900" cy="0"/>
    <xdr:pic>
      <xdr:nvPicPr>
        <xdr:cNvPr id="38" name="image12.png" descr="page53image338854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400050</xdr:colOff>
      <xdr:row>68</xdr:row>
      <xdr:rowOff>0</xdr:rowOff>
    </xdr:from>
    <xdr:ext cx="885825" cy="0"/>
    <xdr:pic>
      <xdr:nvPicPr>
        <xdr:cNvPr id="39" name="image8.png" descr="page53image3381440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495300</xdr:colOff>
      <xdr:row>68</xdr:row>
      <xdr:rowOff>0</xdr:rowOff>
    </xdr:from>
    <xdr:ext cx="723900" cy="0"/>
    <xdr:pic>
      <xdr:nvPicPr>
        <xdr:cNvPr id="40" name="image12.png" descr="page53image338412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419100</xdr:colOff>
      <xdr:row>68</xdr:row>
      <xdr:rowOff>0</xdr:rowOff>
    </xdr:from>
    <xdr:ext cx="904875" cy="0"/>
    <xdr:pic>
      <xdr:nvPicPr>
        <xdr:cNvPr id="41" name="image9.png" descr="page53image337587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533400</xdr:colOff>
      <xdr:row>68</xdr:row>
      <xdr:rowOff>0</xdr:rowOff>
    </xdr:from>
    <xdr:ext cx="1076325" cy="0"/>
    <xdr:pic>
      <xdr:nvPicPr>
        <xdr:cNvPr id="42" name="image6.png" descr="page53image337644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68</xdr:row>
      <xdr:rowOff>0</xdr:rowOff>
    </xdr:from>
    <xdr:ext cx="809625" cy="9525"/>
    <xdr:pic>
      <xdr:nvPicPr>
        <xdr:cNvPr id="43" name="image19.pn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9525</xdr:rowOff>
    </xdr:from>
    <xdr:ext cx="3733800" cy="2543175"/>
    <xdr:graphicFrame macro="">
      <xdr:nvGraphicFramePr>
        <xdr:cNvPr id="2044874123" name="Chart 1">
          <a:extLst>
            <a:ext uri="{FF2B5EF4-FFF2-40B4-BE49-F238E27FC236}">
              <a16:creationId xmlns:a16="http://schemas.microsoft.com/office/drawing/2014/main" id="{00000000-0008-0000-0B00-00008B4DE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190500</xdr:colOff>
      <xdr:row>31</xdr:row>
      <xdr:rowOff>9525</xdr:rowOff>
    </xdr:from>
    <xdr:ext cx="3781425" cy="2543175"/>
    <xdr:graphicFrame macro="">
      <xdr:nvGraphicFramePr>
        <xdr:cNvPr id="1931779292" name="Chart 2">
          <a:extLst>
            <a:ext uri="{FF2B5EF4-FFF2-40B4-BE49-F238E27FC236}">
              <a16:creationId xmlns:a16="http://schemas.microsoft.com/office/drawing/2014/main" id="{00000000-0008-0000-0B00-0000DC9C2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952500</xdr:colOff>
      <xdr:row>31</xdr:row>
      <xdr:rowOff>0</xdr:rowOff>
    </xdr:from>
    <xdr:ext cx="3467100" cy="2543175"/>
    <xdr:graphicFrame macro="">
      <xdr:nvGraphicFramePr>
        <xdr:cNvPr id="1216153054" name="Chart 3">
          <a:extLst>
            <a:ext uri="{FF2B5EF4-FFF2-40B4-BE49-F238E27FC236}">
              <a16:creationId xmlns:a16="http://schemas.microsoft.com/office/drawing/2014/main" id="{00000000-0008-0000-0B00-0000DE057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971550</xdr:colOff>
      <xdr:row>46</xdr:row>
      <xdr:rowOff>161925</xdr:rowOff>
    </xdr:from>
    <xdr:ext cx="3457575" cy="2571750"/>
    <xdr:graphicFrame macro="">
      <xdr:nvGraphicFramePr>
        <xdr:cNvPr id="912056073" name="Chart 4">
          <a:extLst>
            <a:ext uri="{FF2B5EF4-FFF2-40B4-BE49-F238E27FC236}">
              <a16:creationId xmlns:a16="http://schemas.microsoft.com/office/drawing/2014/main" id="{00000000-0008-0000-0B00-000009DF5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47</xdr:row>
      <xdr:rowOff>19050</xdr:rowOff>
    </xdr:from>
    <xdr:ext cx="3905250" cy="2552700"/>
    <xdr:graphicFrame macro="">
      <xdr:nvGraphicFramePr>
        <xdr:cNvPr id="1075444264" name="Chart 5">
          <a:extLst>
            <a:ext uri="{FF2B5EF4-FFF2-40B4-BE49-F238E27FC236}">
              <a16:creationId xmlns:a16="http://schemas.microsoft.com/office/drawing/2014/main" id="{00000000-0008-0000-0B00-000028FA1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3</xdr:col>
      <xdr:colOff>190500</xdr:colOff>
      <xdr:row>47</xdr:row>
      <xdr:rowOff>0</xdr:rowOff>
    </xdr:from>
    <xdr:ext cx="3800475" cy="2571750"/>
    <xdr:graphicFrame macro="">
      <xdr:nvGraphicFramePr>
        <xdr:cNvPr id="1369063202" name="Chart 6">
          <a:extLst>
            <a:ext uri="{FF2B5EF4-FFF2-40B4-BE49-F238E27FC236}">
              <a16:creationId xmlns:a16="http://schemas.microsoft.com/office/drawing/2014/main" id="{00000000-0008-0000-0B00-0000223F9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372100" cy="2943225"/>
    <xdr:graphicFrame macro="">
      <xdr:nvGraphicFramePr>
        <xdr:cNvPr id="326836352" name="Chart 7">
          <a:extLst>
            <a:ext uri="{FF2B5EF4-FFF2-40B4-BE49-F238E27FC236}">
              <a16:creationId xmlns:a16="http://schemas.microsoft.com/office/drawing/2014/main" id="{00000000-0008-0000-0C00-000080207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0</xdr:colOff>
      <xdr:row>1</xdr:row>
      <xdr:rowOff>9525</xdr:rowOff>
    </xdr:from>
    <xdr:ext cx="5248275" cy="2914650"/>
    <xdr:graphicFrame macro="">
      <xdr:nvGraphicFramePr>
        <xdr:cNvPr id="31289948" name="Chart 8">
          <a:extLst>
            <a:ext uri="{FF2B5EF4-FFF2-40B4-BE49-F238E27FC236}">
              <a16:creationId xmlns:a16="http://schemas.microsoft.com/office/drawing/2014/main" id="{00000000-0008-0000-0C00-00005C72D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9525</xdr:colOff>
      <xdr:row>1</xdr:row>
      <xdr:rowOff>9525</xdr:rowOff>
    </xdr:from>
    <xdr:ext cx="4533900" cy="2990850"/>
    <xdr:graphicFrame macro="">
      <xdr:nvGraphicFramePr>
        <xdr:cNvPr id="174545229" name="Chart 9">
          <a:extLst>
            <a:ext uri="{FF2B5EF4-FFF2-40B4-BE49-F238E27FC236}">
              <a16:creationId xmlns:a16="http://schemas.microsoft.com/office/drawing/2014/main" id="{00000000-0008-0000-0C00-00004D596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9525</xdr:colOff>
      <xdr:row>17</xdr:row>
      <xdr:rowOff>0</xdr:rowOff>
    </xdr:from>
    <xdr:ext cx="4781550" cy="3343275"/>
    <xdr:graphicFrame macro="">
      <xdr:nvGraphicFramePr>
        <xdr:cNvPr id="1390703845" name="Chart 10" title="Graphique">
          <a:extLst>
            <a:ext uri="{FF2B5EF4-FFF2-40B4-BE49-F238E27FC236}">
              <a16:creationId xmlns:a16="http://schemas.microsoft.com/office/drawing/2014/main" id="{00000000-0008-0000-0C00-0000E574E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17</xdr:row>
      <xdr:rowOff>19050</xdr:rowOff>
    </xdr:from>
    <xdr:ext cx="5372100" cy="3333750"/>
    <xdr:graphicFrame macro="">
      <xdr:nvGraphicFramePr>
        <xdr:cNvPr id="1442794204" name="Chart 11">
          <a:extLst>
            <a:ext uri="{FF2B5EF4-FFF2-40B4-BE49-F238E27FC236}">
              <a16:creationId xmlns:a16="http://schemas.microsoft.com/office/drawing/2014/main" id="{00000000-0008-0000-0C00-0000DC4AF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0</xdr:colOff>
      <xdr:row>17</xdr:row>
      <xdr:rowOff>0</xdr:rowOff>
    </xdr:from>
    <xdr:ext cx="5257800" cy="3343275"/>
    <xdr:graphicFrame macro="">
      <xdr:nvGraphicFramePr>
        <xdr:cNvPr id="670027866" name="Chart 12">
          <a:extLst>
            <a:ext uri="{FF2B5EF4-FFF2-40B4-BE49-F238E27FC236}">
              <a16:creationId xmlns:a16="http://schemas.microsoft.com/office/drawing/2014/main" id="{00000000-0008-0000-0C00-00005AD0E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Z994"/>
  <sheetViews>
    <sheetView showGridLines="0" tabSelected="1" workbookViewId="0"/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5.453125" customWidth="1"/>
    <col min="4" max="4" width="22.7265625" customWidth="1"/>
    <col min="5" max="6" width="30.08984375" customWidth="1"/>
    <col min="7" max="7" width="22.08984375" customWidth="1"/>
    <col min="8" max="8" width="19.7265625" customWidth="1"/>
    <col min="9" max="9" width="18.26953125" customWidth="1"/>
    <col min="10" max="26" width="12.26953125" customWidth="1"/>
  </cols>
  <sheetData>
    <row r="1" spans="1:26" ht="8.25" customHeight="1">
      <c r="A1" s="1"/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45.75" customHeight="1">
      <c r="A2" s="1"/>
      <c r="B2" s="2"/>
      <c r="C2" s="340" t="s">
        <v>0</v>
      </c>
      <c r="D2" s="341"/>
      <c r="E2" s="341"/>
      <c r="F2" s="5"/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ht="15" customHeight="1">
      <c r="A3" s="1"/>
      <c r="B3" s="2"/>
      <c r="C3" s="3"/>
      <c r="D3" s="3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6" ht="1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6" ht="13.5" customHeight="1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6" ht="13.5" customHeight="1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ht="28.5" customHeight="1">
      <c r="A7" s="1"/>
      <c r="B7" s="2"/>
      <c r="C7" s="342" t="s">
        <v>1</v>
      </c>
      <c r="D7" s="343"/>
      <c r="E7" s="343"/>
      <c r="F7" s="34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ht="13.5" customHeight="1">
      <c r="A8" s="1"/>
      <c r="B8" s="2"/>
      <c r="C8" s="6"/>
      <c r="D8" s="6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13.5" customHeight="1">
      <c r="A9" s="1"/>
      <c r="B9" s="2"/>
      <c r="C9" s="6"/>
      <c r="D9" s="6"/>
      <c r="E9" s="6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>
      <c r="A10" s="1"/>
      <c r="B10" s="2"/>
      <c r="C10" s="345" t="s">
        <v>2</v>
      </c>
      <c r="D10" s="343"/>
      <c r="E10" s="343"/>
      <c r="F10" s="34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>
      <c r="A11" s="1"/>
      <c r="B11" s="2"/>
      <c r="C11" s="7"/>
      <c r="D11" s="7"/>
      <c r="E11" s="7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1"/>
      <c r="B12" s="2"/>
      <c r="C12" s="346" t="s">
        <v>3</v>
      </c>
      <c r="D12" s="341"/>
      <c r="E12" s="10"/>
      <c r="F12" s="1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1"/>
      <c r="B13" s="2"/>
      <c r="C13" s="9"/>
      <c r="D13" s="9"/>
      <c r="E13" s="12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>
      <c r="A14" s="1"/>
      <c r="B14" s="2"/>
      <c r="C14" s="346" t="s">
        <v>4</v>
      </c>
      <c r="D14" s="341"/>
      <c r="E14" s="13"/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>
      <c r="A15" s="1"/>
      <c r="B15" s="2"/>
      <c r="C15" s="9"/>
      <c r="D15" s="9"/>
      <c r="E15" s="12"/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>
      <c r="A16" s="1"/>
      <c r="B16" s="2"/>
      <c r="C16" s="346" t="s">
        <v>5</v>
      </c>
      <c r="D16" s="341"/>
      <c r="E16" s="347"/>
      <c r="F16" s="34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1"/>
      <c r="B17" s="2"/>
      <c r="C17" s="9"/>
      <c r="D17" s="9"/>
      <c r="E17" s="12"/>
      <c r="F17" s="1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1"/>
      <c r="B18" s="2"/>
      <c r="C18" s="346" t="s">
        <v>6</v>
      </c>
      <c r="D18" s="341"/>
      <c r="E18" s="13"/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>
      <c r="A19" s="1"/>
      <c r="B19" s="2"/>
      <c r="C19" s="9"/>
      <c r="D19" s="9"/>
      <c r="E19" s="12"/>
      <c r="F19" s="1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1"/>
      <c r="B20" s="2"/>
      <c r="C20" s="346" t="s">
        <v>7</v>
      </c>
      <c r="D20" s="341"/>
      <c r="E20" s="13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>
      <c r="A21" s="1"/>
      <c r="B21" s="2"/>
      <c r="C21" s="9"/>
      <c r="D21" s="9"/>
      <c r="E21" s="12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>
      <c r="A22" s="1"/>
      <c r="B22" s="2"/>
      <c r="C22" s="346" t="s">
        <v>8</v>
      </c>
      <c r="D22" s="341"/>
      <c r="E22" s="13"/>
      <c r="F22" s="1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>
      <c r="A23" s="1"/>
      <c r="B23" s="2"/>
      <c r="C23" s="9"/>
      <c r="D23" s="9"/>
      <c r="E23" s="12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>
      <c r="A24" s="1"/>
      <c r="B24" s="2"/>
      <c r="C24" s="346" t="s">
        <v>9</v>
      </c>
      <c r="D24" s="341"/>
      <c r="E24" s="13"/>
      <c r="F24" s="1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1"/>
      <c r="B25" s="2"/>
      <c r="C25" s="9"/>
      <c r="D25" s="9"/>
      <c r="E25" s="12"/>
      <c r="F25" s="1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5" customHeight="1">
      <c r="A26" s="1"/>
      <c r="B26" s="2"/>
      <c r="C26" s="346" t="s">
        <v>10</v>
      </c>
      <c r="D26" s="341"/>
      <c r="E26" s="13"/>
      <c r="F26" s="1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>
      <c r="A27" s="1"/>
      <c r="B27" s="2"/>
      <c r="C27" s="9"/>
      <c r="D27" s="9"/>
      <c r="E27" s="12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1"/>
      <c r="B28" s="2"/>
      <c r="C28" s="346" t="s">
        <v>11</v>
      </c>
      <c r="D28" s="341"/>
      <c r="E28" s="13"/>
      <c r="F28" s="1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1"/>
      <c r="B29" s="2"/>
      <c r="C29" s="9"/>
      <c r="D29" s="9"/>
      <c r="E29" s="12"/>
      <c r="F29" s="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1"/>
      <c r="B30" s="2"/>
      <c r="C30" s="346" t="s">
        <v>12</v>
      </c>
      <c r="D30" s="341"/>
      <c r="E30" s="16"/>
      <c r="F30" s="1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>
      <c r="A31" s="1"/>
      <c r="B31" s="2"/>
      <c r="C31" s="7"/>
      <c r="D31" s="7"/>
      <c r="E31" s="7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>
      <c r="A32" s="1"/>
      <c r="B32" s="2"/>
      <c r="C32" s="345" t="s">
        <v>13</v>
      </c>
      <c r="D32" s="343"/>
      <c r="E32" s="343"/>
      <c r="F32" s="34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>
      <c r="A33" s="1"/>
      <c r="B33" s="2"/>
      <c r="C33" s="7"/>
      <c r="D33" s="7"/>
      <c r="E33" s="7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>
      <c r="A34" s="1"/>
      <c r="B34" s="2"/>
      <c r="C34" s="349" t="s">
        <v>14</v>
      </c>
      <c r="D34" s="341"/>
      <c r="E34" s="350"/>
      <c r="F34" s="34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>
      <c r="A35" s="1"/>
      <c r="B35" s="2"/>
      <c r="C35" s="12"/>
      <c r="D35" s="12"/>
      <c r="E35" s="7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>
      <c r="A36" s="1"/>
      <c r="B36" s="2"/>
      <c r="C36" s="351" t="s">
        <v>15</v>
      </c>
      <c r="D36" s="341"/>
      <c r="E36" s="350" t="s">
        <v>16</v>
      </c>
      <c r="F36" s="34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>
      <c r="A37" s="1"/>
      <c r="B37" s="2"/>
      <c r="C37" s="12"/>
      <c r="D37" s="12"/>
      <c r="E37" s="7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>
      <c r="A38" s="1"/>
      <c r="B38" s="2"/>
      <c r="C38" s="349" t="s">
        <v>17</v>
      </c>
      <c r="D38" s="341"/>
      <c r="E38" s="350" t="s">
        <v>18</v>
      </c>
      <c r="F38" s="34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>
      <c r="A39" s="1"/>
      <c r="B39" s="2"/>
      <c r="C39" s="12"/>
      <c r="D39" s="12"/>
      <c r="E39" s="18"/>
      <c r="F39" s="1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1"/>
      <c r="B40" s="2"/>
      <c r="C40" s="352" t="s">
        <v>19</v>
      </c>
      <c r="D40" s="341"/>
      <c r="E40" s="350" t="s">
        <v>18</v>
      </c>
      <c r="F40" s="34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1"/>
      <c r="B41" s="2"/>
      <c r="C41" s="12"/>
      <c r="D41" s="12"/>
      <c r="E41" s="7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>
      <c r="A42" s="1"/>
      <c r="B42" s="2"/>
      <c r="C42" s="7"/>
      <c r="D42" s="7"/>
      <c r="E42" s="7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>
      <c r="A43" s="1"/>
      <c r="B43" s="2"/>
      <c r="C43" s="345" t="s">
        <v>20</v>
      </c>
      <c r="D43" s="343"/>
      <c r="E43" s="343"/>
      <c r="F43" s="34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1"/>
      <c r="B44" s="2"/>
      <c r="C44" s="7"/>
      <c r="D44" s="7"/>
      <c r="E44" s="7"/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1"/>
      <c r="B45" s="2"/>
      <c r="C45" s="3"/>
      <c r="D45" s="20" t="s">
        <v>21</v>
      </c>
      <c r="E45" s="21" t="s">
        <v>22</v>
      </c>
      <c r="F45" s="21" t="s">
        <v>23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>
      <c r="A46" s="1"/>
      <c r="B46" s="2"/>
      <c r="C46" s="22"/>
      <c r="D46" s="22"/>
      <c r="E46" s="23"/>
      <c r="F46" s="2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1"/>
      <c r="B47" s="2"/>
      <c r="C47" s="25" t="s">
        <v>24</v>
      </c>
      <c r="D47" s="26"/>
      <c r="E47" s="27"/>
      <c r="F47" s="28">
        <v>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1"/>
      <c r="B48" s="2"/>
      <c r="C48" s="29"/>
      <c r="D48" s="8"/>
      <c r="E48" s="8"/>
      <c r="F48" s="3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1"/>
      <c r="B49" s="2"/>
      <c r="C49" s="25" t="s">
        <v>25</v>
      </c>
      <c r="D49" s="26"/>
      <c r="E49" s="27"/>
      <c r="F49" s="28"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hidden="1" customHeight="1">
      <c r="A50" s="1"/>
      <c r="B50" s="2"/>
      <c r="C50" s="29"/>
      <c r="D50" s="8"/>
      <c r="E50" s="8"/>
      <c r="F50" s="2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hidden="1" customHeight="1">
      <c r="A51" s="1"/>
      <c r="B51" s="2"/>
      <c r="C51" s="25" t="s">
        <v>26</v>
      </c>
      <c r="D51" s="26"/>
      <c r="E51" s="27"/>
      <c r="F51" s="28"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hidden="1" customHeight="1">
      <c r="A52" s="1"/>
      <c r="B52" s="2"/>
      <c r="C52" s="29"/>
      <c r="D52" s="8"/>
      <c r="E52" s="8"/>
      <c r="F52" s="3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hidden="1" customHeight="1">
      <c r="A53" s="1"/>
      <c r="B53" s="2"/>
      <c r="C53" s="25" t="s">
        <v>27</v>
      </c>
      <c r="D53" s="26"/>
      <c r="E53" s="27"/>
      <c r="F53" s="28"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1"/>
      <c r="B54" s="2"/>
      <c r="C54" s="7"/>
      <c r="D54" s="7"/>
      <c r="E54" s="8"/>
      <c r="F54" s="3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>
      <c r="A55" s="1"/>
      <c r="B55" s="2"/>
      <c r="C55" s="25" t="s">
        <v>28</v>
      </c>
      <c r="D55" s="26"/>
      <c r="E55" s="27"/>
      <c r="F55" s="28">
        <f>F47+F49+F51+F53</f>
        <v>1</v>
      </c>
      <c r="G55" s="31" t="str">
        <f>IF(F55&lt;&gt;1,"Le total doit être égal à 100%. Vérifiez les données!","")</f>
        <v/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1"/>
      <c r="B57" s="2"/>
      <c r="C57" s="345" t="s">
        <v>29</v>
      </c>
      <c r="D57" s="343"/>
      <c r="E57" s="343"/>
      <c r="F57" s="34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1"/>
      <c r="B59" s="2"/>
      <c r="C59" s="3"/>
      <c r="D59" s="20" t="s">
        <v>21</v>
      </c>
      <c r="E59" s="21" t="s">
        <v>22</v>
      </c>
      <c r="F59" s="21" t="s">
        <v>30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1"/>
      <c r="B60" s="2"/>
      <c r="C60" s="22"/>
      <c r="D60" s="22"/>
      <c r="E60" s="23"/>
      <c r="F60" s="2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1"/>
      <c r="B61" s="2"/>
      <c r="C61" s="25" t="s">
        <v>24</v>
      </c>
      <c r="D61" s="26"/>
      <c r="E61" s="32"/>
      <c r="F61" s="33" t="s">
        <v>31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1"/>
      <c r="B62" s="2"/>
      <c r="C62" s="29"/>
      <c r="D62" s="19"/>
      <c r="E62" s="19"/>
      <c r="F62" s="3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1"/>
      <c r="B63" s="2"/>
      <c r="C63" s="25" t="s">
        <v>25</v>
      </c>
      <c r="D63" s="26"/>
      <c r="E63" s="32"/>
      <c r="F63" s="33" t="s">
        <v>32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1"/>
      <c r="B64" s="2"/>
      <c r="C64" s="29"/>
      <c r="D64" s="19"/>
      <c r="E64" s="19"/>
      <c r="F64" s="3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hidden="1" customHeight="1">
      <c r="A65" s="1"/>
      <c r="B65" s="2"/>
      <c r="C65" s="25" t="s">
        <v>26</v>
      </c>
      <c r="D65" s="26"/>
      <c r="E65" s="32"/>
      <c r="F65" s="3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hidden="1" customHeight="1">
      <c r="A66" s="1"/>
      <c r="B66" s="2"/>
      <c r="C66" s="29"/>
      <c r="D66" s="19"/>
      <c r="E66" s="19"/>
      <c r="F66" s="3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hidden="1" customHeight="1">
      <c r="A67" s="1"/>
      <c r="B67" s="2"/>
      <c r="C67" s="25" t="s">
        <v>27</v>
      </c>
      <c r="D67" s="26"/>
      <c r="E67" s="32"/>
      <c r="F67" s="3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hidden="1" customHeight="1">
      <c r="A68" s="1"/>
      <c r="B68" s="2"/>
      <c r="C68" s="29"/>
      <c r="D68" s="19"/>
      <c r="E68" s="19"/>
      <c r="F68" s="3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hidden="1" customHeight="1">
      <c r="A69" s="1"/>
      <c r="B69" s="2"/>
      <c r="C69" s="25" t="s">
        <v>33</v>
      </c>
      <c r="D69" s="26"/>
      <c r="E69" s="32"/>
      <c r="F69" s="3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hidden="1" customHeight="1">
      <c r="A70" s="1"/>
      <c r="B70" s="2"/>
      <c r="C70" s="29"/>
      <c r="D70" s="19"/>
      <c r="E70" s="19"/>
      <c r="F70" s="3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hidden="1" customHeight="1">
      <c r="A71" s="1"/>
      <c r="B71" s="2"/>
      <c r="C71" s="25" t="s">
        <v>34</v>
      </c>
      <c r="D71" s="26"/>
      <c r="E71" s="32"/>
      <c r="F71" s="3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hidden="1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hidden="1" customHeight="1">
      <c r="A73" s="1"/>
      <c r="B73" s="2"/>
      <c r="C73" s="25" t="s">
        <v>35</v>
      </c>
      <c r="D73" s="26"/>
      <c r="E73" s="32"/>
      <c r="F73" s="3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" customHeight="1">
      <c r="A75" s="1"/>
      <c r="B75" s="2"/>
      <c r="C75" s="3"/>
      <c r="D75" s="353"/>
      <c r="E75" s="354"/>
      <c r="F75" s="35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1"/>
      <c r="B76" s="2"/>
      <c r="C76" s="3"/>
      <c r="D76" s="355"/>
      <c r="E76" s="341"/>
      <c r="F76" s="34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1"/>
      <c r="B77" s="2"/>
      <c r="C77" s="3"/>
      <c r="D77" s="355"/>
      <c r="E77" s="341"/>
      <c r="F77" s="34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>
      <c r="A78" s="1"/>
      <c r="B78" s="2"/>
      <c r="C78" s="3"/>
      <c r="D78" s="355"/>
      <c r="E78" s="341"/>
      <c r="F78" s="34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21" customHeight="1">
      <c r="A80" s="1"/>
      <c r="B80" s="2"/>
      <c r="C80" s="345" t="s">
        <v>36</v>
      </c>
      <c r="D80" s="343"/>
      <c r="E80" s="343"/>
      <c r="F80" s="3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customHeight="1">
      <c r="A82" s="1"/>
      <c r="B82" s="2"/>
      <c r="C82" s="3"/>
      <c r="D82" s="353"/>
      <c r="E82" s="354"/>
      <c r="F82" s="35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>
      <c r="A83" s="1"/>
      <c r="B83" s="2"/>
      <c r="C83" s="3"/>
      <c r="D83" s="355"/>
      <c r="E83" s="341"/>
      <c r="F83" s="341"/>
      <c r="G83" s="3"/>
      <c r="H83" s="3" t="s">
        <v>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1"/>
      <c r="B84" s="2"/>
      <c r="C84" s="3"/>
      <c r="D84" s="355"/>
      <c r="E84" s="341"/>
      <c r="F84" s="34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1"/>
      <c r="B85" s="2"/>
      <c r="C85" s="3"/>
      <c r="D85" s="355"/>
      <c r="E85" s="341"/>
      <c r="F85" s="34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1"/>
      <c r="B86" s="2"/>
      <c r="C86" s="3"/>
      <c r="D86" s="355"/>
      <c r="E86" s="341"/>
      <c r="F86" s="34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1"/>
      <c r="B87" s="2"/>
      <c r="C87" s="3"/>
      <c r="D87" s="355"/>
      <c r="E87" s="341"/>
      <c r="F87" s="34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1"/>
      <c r="B88" s="2"/>
      <c r="C88" s="3"/>
      <c r="D88" s="355"/>
      <c r="E88" s="341"/>
      <c r="F88" s="34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>
      <c r="A89" s="1"/>
      <c r="B89" s="2"/>
      <c r="C89" s="3"/>
      <c r="D89" s="355"/>
      <c r="E89" s="341"/>
      <c r="F89" s="34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1"/>
      <c r="B90" s="2"/>
      <c r="C90" s="3"/>
      <c r="D90" s="355"/>
      <c r="E90" s="341"/>
      <c r="F90" s="34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1"/>
      <c r="B91" s="2"/>
      <c r="C91" s="3"/>
      <c r="D91" s="355"/>
      <c r="E91" s="341"/>
      <c r="F91" s="34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1"/>
      <c r="B93" s="2"/>
      <c r="C93" s="345" t="s">
        <v>38</v>
      </c>
      <c r="D93" s="343"/>
      <c r="E93" s="343"/>
      <c r="F93" s="34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1"/>
      <c r="B95" s="2"/>
      <c r="C95" s="3"/>
      <c r="D95" s="20" t="s">
        <v>39</v>
      </c>
      <c r="E95" s="21" t="s">
        <v>40</v>
      </c>
      <c r="F95" s="21" t="s">
        <v>41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1"/>
      <c r="B96" s="2"/>
      <c r="C96" s="22"/>
      <c r="D96" s="22"/>
      <c r="E96" s="23"/>
      <c r="F96" s="2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1"/>
      <c r="B97" s="2"/>
      <c r="C97" s="25" t="s">
        <v>24</v>
      </c>
      <c r="D97" s="26"/>
      <c r="E97" s="32"/>
      <c r="F97" s="3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1"/>
      <c r="B98" s="2"/>
      <c r="C98" s="29"/>
      <c r="D98" s="19"/>
      <c r="E98" s="19"/>
      <c r="F98" s="3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1"/>
      <c r="B99" s="2"/>
      <c r="C99" s="25" t="s">
        <v>25</v>
      </c>
      <c r="D99" s="26"/>
      <c r="E99" s="32"/>
      <c r="F99" s="3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hidden="1" customHeight="1">
      <c r="A100" s="1"/>
      <c r="B100" s="2"/>
      <c r="C100" s="29"/>
      <c r="D100" s="19"/>
      <c r="E100" s="19"/>
      <c r="F100" s="3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hidden="1" customHeight="1">
      <c r="A101" s="1"/>
      <c r="B101" s="2"/>
      <c r="C101" s="25" t="s">
        <v>26</v>
      </c>
      <c r="D101" s="26"/>
      <c r="E101" s="32"/>
      <c r="F101" s="3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hidden="1" customHeight="1">
      <c r="A102" s="1"/>
      <c r="B102" s="2"/>
      <c r="C102" s="29"/>
      <c r="D102" s="19"/>
      <c r="E102" s="19"/>
      <c r="F102" s="3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hidden="1" customHeight="1">
      <c r="A103" s="1"/>
      <c r="B103" s="2"/>
      <c r="C103" s="25" t="s">
        <v>27</v>
      </c>
      <c r="D103" s="26"/>
      <c r="E103" s="32"/>
      <c r="F103" s="3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>
      <c r="A105" s="1"/>
      <c r="B105" s="2"/>
      <c r="C105" s="345" t="s">
        <v>42</v>
      </c>
      <c r="D105" s="343"/>
      <c r="E105" s="343"/>
      <c r="F105" s="34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1"/>
      <c r="B107" s="2"/>
      <c r="C107" s="3"/>
      <c r="D107" s="20" t="s">
        <v>43</v>
      </c>
      <c r="E107" s="21" t="s">
        <v>44</v>
      </c>
      <c r="F107" s="21" t="s">
        <v>45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1"/>
      <c r="B108" s="2"/>
      <c r="C108" s="22"/>
      <c r="D108" s="22"/>
      <c r="E108" s="23"/>
      <c r="F108" s="2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1"/>
      <c r="B109" s="2"/>
      <c r="C109" s="25"/>
      <c r="D109" s="38"/>
      <c r="E109" s="32"/>
      <c r="F109" s="3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1"/>
      <c r="B110" s="2"/>
      <c r="C110" s="25"/>
      <c r="D110" s="38"/>
      <c r="E110" s="40"/>
      <c r="F110" s="4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1"/>
      <c r="B111" s="2"/>
      <c r="C111" s="29"/>
      <c r="D111" s="19"/>
      <c r="E111" s="19"/>
      <c r="F111" s="4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>
      <c r="A112" s="1"/>
      <c r="B112" s="2"/>
      <c r="C112" s="3" t="s">
        <v>46</v>
      </c>
      <c r="D112" s="25"/>
      <c r="E112" s="25"/>
      <c r="F112" s="25"/>
      <c r="G112" s="2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>
      <c r="A113" s="1"/>
      <c r="B113" s="2"/>
      <c r="C113" s="29"/>
      <c r="D113" s="358"/>
      <c r="E113" s="354"/>
      <c r="F113" s="359"/>
      <c r="G113" s="2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1"/>
      <c r="B114" s="2"/>
      <c r="C114" s="25"/>
      <c r="D114" s="360"/>
      <c r="E114" s="341"/>
      <c r="F114" s="361"/>
      <c r="G114" s="2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1"/>
      <c r="B115" s="2"/>
      <c r="C115" s="29"/>
      <c r="D115" s="360"/>
      <c r="E115" s="341"/>
      <c r="F115" s="36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1"/>
      <c r="B116" s="2"/>
      <c r="C116" s="3"/>
      <c r="D116" s="360"/>
      <c r="E116" s="341"/>
      <c r="F116" s="36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1"/>
      <c r="B117" s="2"/>
      <c r="C117" s="3"/>
      <c r="D117" s="362"/>
      <c r="E117" s="363"/>
      <c r="F117" s="36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1"/>
      <c r="B119" s="2"/>
      <c r="C119" s="345" t="s">
        <v>47</v>
      </c>
      <c r="D119" s="343"/>
      <c r="E119" s="343"/>
      <c r="F119" s="34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1"/>
      <c r="B121" s="2"/>
      <c r="C121" s="3"/>
      <c r="D121" s="20" t="s">
        <v>48</v>
      </c>
      <c r="E121" s="20" t="s">
        <v>49</v>
      </c>
      <c r="F121" s="20" t="s">
        <v>50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1"/>
      <c r="B122" s="2"/>
      <c r="C122" s="22"/>
      <c r="D122" s="22"/>
      <c r="E122" s="23"/>
      <c r="F122" s="2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1"/>
      <c r="B123" s="2"/>
      <c r="C123" s="25" t="s">
        <v>24</v>
      </c>
      <c r="D123" s="26"/>
      <c r="E123" s="32"/>
      <c r="F123" s="3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1"/>
      <c r="B124" s="2"/>
      <c r="C124" s="29"/>
      <c r="D124" s="19"/>
      <c r="E124" s="19"/>
      <c r="F124" s="3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1"/>
      <c r="B125" s="2"/>
      <c r="C125" s="25" t="s">
        <v>25</v>
      </c>
      <c r="D125" s="26"/>
      <c r="E125" s="32"/>
      <c r="F125" s="3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1"/>
      <c r="B126" s="2"/>
      <c r="C126" s="29"/>
      <c r="D126" s="19"/>
      <c r="E126" s="19"/>
      <c r="F126" s="3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1"/>
      <c r="B127" s="2"/>
      <c r="C127" s="25" t="s">
        <v>26</v>
      </c>
      <c r="D127" s="26"/>
      <c r="E127" s="32"/>
      <c r="F127" s="3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>
      <c r="A128" s="1"/>
      <c r="B128" s="2"/>
      <c r="C128" s="29"/>
      <c r="D128" s="19"/>
      <c r="E128" s="19"/>
      <c r="F128" s="3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1"/>
      <c r="B129" s="2"/>
      <c r="C129" s="345" t="s">
        <v>51</v>
      </c>
      <c r="D129" s="343"/>
      <c r="E129" s="343"/>
      <c r="F129" s="34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1"/>
      <c r="B130" s="2"/>
      <c r="C130" s="29"/>
      <c r="D130" s="19"/>
      <c r="E130" s="19"/>
      <c r="F130" s="1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1"/>
      <c r="B131" s="2"/>
      <c r="C131" s="25" t="s">
        <v>24</v>
      </c>
      <c r="D131" s="26"/>
      <c r="E131" s="356"/>
      <c r="F131" s="35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1"/>
      <c r="B132" s="2"/>
      <c r="C132" s="29"/>
      <c r="D132" s="19"/>
      <c r="E132" s="19"/>
      <c r="F132" s="1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1"/>
      <c r="B133" s="2"/>
      <c r="C133" s="25" t="s">
        <v>25</v>
      </c>
      <c r="D133" s="26"/>
      <c r="E133" s="356"/>
      <c r="F133" s="35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1"/>
      <c r="B134" s="2"/>
      <c r="C134" s="29"/>
      <c r="D134" s="19"/>
      <c r="E134" s="43"/>
      <c r="F134" s="4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1"/>
      <c r="B135" s="2"/>
      <c r="C135" s="25" t="s">
        <v>26</v>
      </c>
      <c r="D135" s="26"/>
      <c r="E135" s="356"/>
      <c r="F135" s="35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1"/>
      <c r="B136" s="2"/>
      <c r="C136" s="29"/>
      <c r="D136" s="19"/>
      <c r="E136" s="43"/>
      <c r="F136" s="4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1"/>
      <c r="B137" s="2"/>
      <c r="C137" s="25" t="s">
        <v>27</v>
      </c>
      <c r="D137" s="26"/>
      <c r="E137" s="356"/>
      <c r="F137" s="35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44"/>
      <c r="B138" s="4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44"/>
      <c r="B139" s="45"/>
      <c r="C139" s="345" t="s">
        <v>52</v>
      </c>
      <c r="D139" s="343"/>
      <c r="E139" s="343"/>
      <c r="F139" s="34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44"/>
      <c r="B140" s="4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44"/>
      <c r="B141" s="45"/>
      <c r="C141" s="3"/>
      <c r="D141" s="20" t="s">
        <v>53</v>
      </c>
      <c r="E141" s="20" t="s">
        <v>54</v>
      </c>
      <c r="F141" s="20" t="s">
        <v>55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44"/>
      <c r="B142" s="45"/>
      <c r="C142" s="22"/>
      <c r="D142" s="22"/>
      <c r="E142" s="23"/>
      <c r="F142" s="2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44"/>
      <c r="B143" s="45"/>
      <c r="C143" s="25" t="s">
        <v>24</v>
      </c>
      <c r="D143" s="26"/>
      <c r="E143" s="46"/>
      <c r="F143" s="4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44"/>
      <c r="B144" s="45"/>
      <c r="C144" s="29"/>
      <c r="D144" s="19"/>
      <c r="E144" s="47"/>
      <c r="F144" s="4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44"/>
      <c r="B145" s="45"/>
      <c r="C145" s="25" t="s">
        <v>25</v>
      </c>
      <c r="D145" s="26"/>
      <c r="E145" s="46"/>
      <c r="F145" s="4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44"/>
      <c r="B146" s="45"/>
      <c r="C146" s="29"/>
      <c r="D146" s="19"/>
      <c r="E146" s="47"/>
      <c r="F146" s="4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44"/>
      <c r="B147" s="45"/>
      <c r="C147" s="25" t="s">
        <v>26</v>
      </c>
      <c r="D147" s="26"/>
      <c r="E147" s="46"/>
      <c r="F147" s="4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44"/>
      <c r="B148" s="45"/>
      <c r="C148" s="29"/>
      <c r="D148" s="19"/>
      <c r="E148" s="47"/>
      <c r="F148" s="4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44"/>
      <c r="B149" s="45"/>
      <c r="C149" s="25" t="s">
        <v>27</v>
      </c>
      <c r="D149" s="26"/>
      <c r="E149" s="46"/>
      <c r="F149" s="4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44"/>
      <c r="B150" s="4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44"/>
      <c r="B151" s="45"/>
      <c r="C151" s="3" t="s">
        <v>46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44"/>
      <c r="B152" s="45"/>
      <c r="C152" s="3"/>
      <c r="D152" s="358"/>
      <c r="E152" s="354"/>
      <c r="F152" s="359"/>
      <c r="G152" s="49"/>
      <c r="H152" s="49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44"/>
      <c r="B153" s="45"/>
      <c r="C153" s="3"/>
      <c r="D153" s="360"/>
      <c r="E153" s="341"/>
      <c r="F153" s="361"/>
      <c r="G153" s="49"/>
      <c r="H153" s="49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44"/>
      <c r="B154" s="45"/>
      <c r="C154" s="3"/>
      <c r="D154" s="360"/>
      <c r="E154" s="341"/>
      <c r="F154" s="361"/>
      <c r="G154" s="49"/>
      <c r="H154" s="49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44"/>
      <c r="B155" s="45"/>
      <c r="C155" s="3"/>
      <c r="D155" s="362"/>
      <c r="E155" s="363"/>
      <c r="F155" s="364"/>
      <c r="G155" s="49"/>
      <c r="H155" s="49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44"/>
      <c r="B156" s="45"/>
      <c r="C156" s="3"/>
      <c r="D156" s="3"/>
      <c r="E156" s="3"/>
      <c r="F156" s="3"/>
      <c r="G156" s="3"/>
      <c r="H156" s="49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44"/>
      <c r="B157" s="45"/>
      <c r="C157" s="345" t="s">
        <v>56</v>
      </c>
      <c r="D157" s="343"/>
      <c r="E157" s="343"/>
      <c r="F157" s="34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44"/>
      <c r="B158" s="4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44"/>
      <c r="B159" s="45"/>
      <c r="C159" s="3"/>
      <c r="D159" s="20" t="s">
        <v>57</v>
      </c>
      <c r="E159" s="20" t="s">
        <v>58</v>
      </c>
      <c r="F159" s="20" t="s">
        <v>59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44"/>
      <c r="B160" s="45"/>
      <c r="C160" s="22"/>
      <c r="D160" s="22"/>
      <c r="E160" s="23"/>
      <c r="F160" s="2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44"/>
      <c r="B161" s="45"/>
      <c r="C161" s="25" t="s">
        <v>24</v>
      </c>
      <c r="D161" s="26"/>
      <c r="E161" s="46"/>
      <c r="F161" s="4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44"/>
      <c r="B162" s="45"/>
      <c r="C162" s="29"/>
      <c r="D162" s="19"/>
      <c r="E162" s="47"/>
      <c r="F162" s="4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44"/>
      <c r="B163" s="45"/>
      <c r="C163" s="25" t="s">
        <v>25</v>
      </c>
      <c r="D163" s="26"/>
      <c r="E163" s="46"/>
      <c r="F163" s="4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44"/>
      <c r="B164" s="45"/>
      <c r="C164" s="29"/>
      <c r="D164" s="19"/>
      <c r="E164" s="47"/>
      <c r="F164" s="4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hidden="1" customHeight="1">
      <c r="A165" s="44"/>
      <c r="B165" s="45"/>
      <c r="C165" s="25" t="s">
        <v>26</v>
      </c>
      <c r="D165" s="26"/>
      <c r="E165" s="46"/>
      <c r="F165" s="4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hidden="1" customHeight="1">
      <c r="A166" s="44"/>
      <c r="B166" s="45"/>
      <c r="C166" s="29"/>
      <c r="D166" s="19"/>
      <c r="E166" s="47"/>
      <c r="F166" s="4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hidden="1" customHeight="1">
      <c r="A167" s="44"/>
      <c r="B167" s="45"/>
      <c r="C167" s="25" t="s">
        <v>27</v>
      </c>
      <c r="D167" s="26"/>
      <c r="E167" s="46"/>
      <c r="F167" s="4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44"/>
      <c r="B168" s="4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44"/>
      <c r="B169" s="45"/>
      <c r="C169" s="3" t="s">
        <v>46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44"/>
      <c r="B170" s="45"/>
      <c r="C170" s="3"/>
      <c r="D170" s="365"/>
      <c r="E170" s="354"/>
      <c r="F170" s="35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44"/>
      <c r="B171" s="45"/>
      <c r="C171" s="3"/>
      <c r="D171" s="360"/>
      <c r="E171" s="341"/>
      <c r="F171" s="36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44"/>
      <c r="B172" s="45"/>
      <c r="C172" s="3"/>
      <c r="D172" s="360"/>
      <c r="E172" s="341"/>
      <c r="F172" s="36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44"/>
      <c r="B173" s="45"/>
      <c r="C173" s="3"/>
      <c r="D173" s="360"/>
      <c r="E173" s="341"/>
      <c r="F173" s="36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44"/>
      <c r="B174" s="45"/>
      <c r="C174" s="3"/>
      <c r="D174" s="360"/>
      <c r="E174" s="341"/>
      <c r="F174" s="36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44"/>
      <c r="B175" s="45"/>
      <c r="C175" s="3"/>
      <c r="D175" s="360"/>
      <c r="E175" s="341"/>
      <c r="F175" s="36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44"/>
      <c r="B176" s="45"/>
      <c r="C176" s="3"/>
      <c r="D176" s="362"/>
      <c r="E176" s="363"/>
      <c r="F176" s="36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/>
    <row r="371" spans="1:26" ht="15.75" customHeight="1"/>
    <row r="372" spans="1:26" ht="15.75" customHeight="1"/>
    <row r="373" spans="1:26" ht="15.75" customHeight="1"/>
    <row r="374" spans="1:26" ht="15.75" customHeight="1"/>
    <row r="375" spans="1:26" ht="15.75" customHeight="1"/>
    <row r="376" spans="1:26" ht="15.75" customHeight="1"/>
    <row r="377" spans="1:26" ht="15.75" customHeight="1"/>
    <row r="378" spans="1:26" ht="15.75" customHeight="1"/>
    <row r="379" spans="1:26" ht="15.75" customHeight="1"/>
    <row r="380" spans="1:26" ht="15.75" customHeight="1"/>
    <row r="381" spans="1:26" ht="15.75" customHeight="1"/>
    <row r="382" spans="1:26" ht="15.75" customHeight="1"/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1">
    <mergeCell ref="D152:F155"/>
    <mergeCell ref="C157:F157"/>
    <mergeCell ref="D170:F176"/>
    <mergeCell ref="C93:F93"/>
    <mergeCell ref="C105:F105"/>
    <mergeCell ref="D113:F117"/>
    <mergeCell ref="C119:F119"/>
    <mergeCell ref="C129:F129"/>
    <mergeCell ref="E131:F131"/>
    <mergeCell ref="E133:F133"/>
    <mergeCell ref="C80:F80"/>
    <mergeCell ref="D82:F91"/>
    <mergeCell ref="E135:F135"/>
    <mergeCell ref="E137:F137"/>
    <mergeCell ref="C139:F139"/>
    <mergeCell ref="C40:D40"/>
    <mergeCell ref="E40:F40"/>
    <mergeCell ref="C43:F43"/>
    <mergeCell ref="C57:F57"/>
    <mergeCell ref="D75:F78"/>
    <mergeCell ref="C34:D34"/>
    <mergeCell ref="E34:F34"/>
    <mergeCell ref="C36:D36"/>
    <mergeCell ref="E36:F36"/>
    <mergeCell ref="C38:D38"/>
    <mergeCell ref="E38:F38"/>
    <mergeCell ref="C24:D24"/>
    <mergeCell ref="C26:D26"/>
    <mergeCell ref="C28:D28"/>
    <mergeCell ref="C30:D30"/>
    <mergeCell ref="C32:F32"/>
    <mergeCell ref="C16:D16"/>
    <mergeCell ref="E16:F16"/>
    <mergeCell ref="C18:D18"/>
    <mergeCell ref="C20:D20"/>
    <mergeCell ref="C22:D22"/>
    <mergeCell ref="C2:E2"/>
    <mergeCell ref="C7:F7"/>
    <mergeCell ref="C10:F10"/>
    <mergeCell ref="C12:D12"/>
    <mergeCell ref="C14:D14"/>
  </mergeCells>
  <dataValidations count="1">
    <dataValidation type="list" allowBlank="1" showInputMessage="1" showErrorMessage="1" prompt=" - " sqref="E16" xr:uid="{00000000-0002-0000-0000-000000000000}">
      <formula1>"GIE,SA,SAU,SAS,EI,SURL,SARL,SCI,Autre"</formula1>
    </dataValidation>
  </dataValidations>
  <pageMargins left="0.7" right="0.7" top="0.75" bottom="0.75" header="0" footer="0"/>
  <pageSetup paperSize="9" scale="96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Y1000"/>
  <sheetViews>
    <sheetView showGridLines="0" workbookViewId="0"/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12.26953125" customWidth="1"/>
    <col min="4" max="4" width="41.08984375" customWidth="1"/>
    <col min="5" max="5" width="8.453125" customWidth="1"/>
    <col min="6" max="25" width="12.26953125" customWidth="1"/>
    <col min="26" max="26" width="14.54296875" customWidth="1"/>
  </cols>
  <sheetData>
    <row r="1" spans="1:25" ht="13.5" customHeight="1">
      <c r="A1" s="1"/>
      <c r="B1" s="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29.25" customHeight="1">
      <c r="A2" s="1"/>
      <c r="B2" s="2"/>
      <c r="C2" s="366" t="s">
        <v>60</v>
      </c>
      <c r="D2" s="341"/>
      <c r="E2" s="341"/>
      <c r="F2" s="341"/>
      <c r="G2" s="341"/>
      <c r="H2" s="34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3.5" customHeight="1">
      <c r="A3" s="1"/>
      <c r="B3" s="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3.5" customHeight="1">
      <c r="A4" s="1"/>
      <c r="B4" s="2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3.5" customHeight="1">
      <c r="A5" s="1"/>
      <c r="B5" s="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3.5" customHeight="1">
      <c r="A6" s="1"/>
      <c r="B6" s="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3.5" customHeight="1">
      <c r="A7" s="1"/>
      <c r="B7" s="2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13.5" customHeight="1">
      <c r="A8" s="1"/>
      <c r="B8" s="2"/>
      <c r="C8" s="51" t="s">
        <v>61</v>
      </c>
      <c r="D8" s="52"/>
      <c r="E8" s="53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13.5" customHeight="1">
      <c r="A9" s="1"/>
      <c r="B9" s="2"/>
      <c r="C9" s="7"/>
      <c r="D9" s="7"/>
      <c r="E9" s="7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13.5" customHeight="1">
      <c r="A10" s="1"/>
      <c r="B10" s="2"/>
      <c r="C10" s="7"/>
      <c r="D10" s="7"/>
      <c r="E10" s="7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6.5" customHeight="1">
      <c r="A11" s="1"/>
      <c r="B11" s="2"/>
      <c r="C11" s="25">
        <v>1</v>
      </c>
      <c r="D11" s="54" t="s">
        <v>62</v>
      </c>
      <c r="E11" s="27" t="s">
        <v>63</v>
      </c>
      <c r="F11" s="2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16.5" customHeight="1">
      <c r="A12" s="1"/>
      <c r="B12" s="2"/>
      <c r="C12" s="25">
        <v>2</v>
      </c>
      <c r="D12" s="54" t="s">
        <v>64</v>
      </c>
      <c r="E12" s="27" t="s">
        <v>63</v>
      </c>
      <c r="F12" s="21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16.5" customHeight="1">
      <c r="A13" s="1"/>
      <c r="B13" s="2"/>
      <c r="C13" s="25">
        <v>3</v>
      </c>
      <c r="D13" s="54" t="s">
        <v>65</v>
      </c>
      <c r="E13" s="27" t="s">
        <v>63</v>
      </c>
      <c r="F13" s="21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16.5" customHeight="1">
      <c r="A14" s="1"/>
      <c r="B14" s="2"/>
      <c r="C14" s="29">
        <v>4</v>
      </c>
      <c r="D14" s="54" t="s">
        <v>66</v>
      </c>
      <c r="E14" s="27" t="s">
        <v>63</v>
      </c>
      <c r="F14" s="21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16.5" customHeight="1">
      <c r="A15" s="1"/>
      <c r="B15" s="2"/>
      <c r="C15" s="25">
        <v>5</v>
      </c>
      <c r="D15" s="54" t="s">
        <v>67</v>
      </c>
      <c r="E15" s="27" t="s">
        <v>63</v>
      </c>
      <c r="F15" s="21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6.5" customHeight="1">
      <c r="A16" s="1"/>
      <c r="B16" s="2"/>
      <c r="C16" s="25">
        <v>6</v>
      </c>
      <c r="D16" s="54" t="s">
        <v>68</v>
      </c>
      <c r="E16" s="27" t="s">
        <v>63</v>
      </c>
      <c r="F16" s="21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16.5" customHeight="1">
      <c r="A17" s="1"/>
      <c r="B17" s="2"/>
      <c r="C17" s="25">
        <v>7</v>
      </c>
      <c r="D17" s="54" t="s">
        <v>69</v>
      </c>
      <c r="E17" s="27" t="s">
        <v>63</v>
      </c>
      <c r="F17" s="21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16.5" customHeight="1">
      <c r="A18" s="1"/>
      <c r="B18" s="2"/>
      <c r="C18" s="25">
        <v>8</v>
      </c>
      <c r="D18" s="54" t="s">
        <v>70</v>
      </c>
      <c r="E18" s="27" t="s">
        <v>71</v>
      </c>
      <c r="F18" s="21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6.5" customHeight="1">
      <c r="A19" s="1"/>
      <c r="B19" s="2"/>
      <c r="C19" s="29">
        <v>9</v>
      </c>
      <c r="D19" s="54" t="s">
        <v>72</v>
      </c>
      <c r="E19" s="27" t="s">
        <v>63</v>
      </c>
      <c r="F19" s="21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16.5" customHeight="1">
      <c r="A20" s="1"/>
      <c r="B20" s="2"/>
      <c r="C20" s="25">
        <v>10</v>
      </c>
      <c r="D20" s="54" t="s">
        <v>73</v>
      </c>
      <c r="E20" s="27" t="s">
        <v>71</v>
      </c>
      <c r="F20" s="21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6.5" customHeight="1">
      <c r="A21" s="1"/>
      <c r="B21" s="2"/>
      <c r="C21" s="25">
        <v>11</v>
      </c>
      <c r="D21" s="54" t="s">
        <v>74</v>
      </c>
      <c r="E21" s="27" t="s">
        <v>63</v>
      </c>
      <c r="F21" s="21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6.5" customHeight="1">
      <c r="A22" s="1"/>
      <c r="B22" s="2"/>
      <c r="C22" s="25">
        <v>12</v>
      </c>
      <c r="D22" s="54" t="s">
        <v>75</v>
      </c>
      <c r="E22" s="27" t="s">
        <v>71</v>
      </c>
      <c r="F22" s="21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6.5" customHeight="1">
      <c r="A23" s="1"/>
      <c r="B23" s="2"/>
      <c r="C23" s="25">
        <v>13</v>
      </c>
      <c r="D23" s="54"/>
      <c r="E23" s="27"/>
      <c r="F23" s="21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16.5" customHeight="1">
      <c r="A24" s="1"/>
      <c r="B24" s="2"/>
      <c r="C24" s="29">
        <v>14</v>
      </c>
      <c r="D24" s="54"/>
      <c r="E24" s="27"/>
      <c r="F24" s="21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6.5" customHeight="1">
      <c r="A25" s="1"/>
      <c r="B25" s="2"/>
      <c r="C25" s="25">
        <v>15</v>
      </c>
      <c r="D25" s="54"/>
      <c r="E25" s="27"/>
      <c r="F25" s="2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6.5" customHeight="1">
      <c r="A26" s="1"/>
      <c r="B26" s="2"/>
      <c r="C26" s="25">
        <v>16</v>
      </c>
      <c r="D26" s="54"/>
      <c r="E26" s="27"/>
      <c r="F26" s="21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6.5" customHeight="1">
      <c r="A27" s="1"/>
      <c r="B27" s="2"/>
      <c r="C27" s="25">
        <v>17</v>
      </c>
      <c r="D27" s="54"/>
      <c r="E27" s="2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6.5" customHeight="1">
      <c r="A28" s="1"/>
      <c r="B28" s="2"/>
      <c r="C28" s="25">
        <v>18</v>
      </c>
      <c r="D28" s="54"/>
      <c r="E28" s="27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6.5" customHeight="1">
      <c r="A29" s="1"/>
      <c r="B29" s="2"/>
      <c r="C29" s="29">
        <v>19</v>
      </c>
      <c r="D29" s="54"/>
      <c r="E29" s="27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16.5" customHeight="1">
      <c r="A30" s="1"/>
      <c r="B30" s="2"/>
      <c r="C30" s="25">
        <v>20</v>
      </c>
      <c r="D30" s="54"/>
      <c r="E30" s="27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16.5" customHeight="1">
      <c r="A31" s="1"/>
      <c r="B31" s="2"/>
      <c r="C31" s="25">
        <v>21</v>
      </c>
      <c r="D31" s="54"/>
      <c r="E31" s="27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16.5" customHeight="1">
      <c r="A32" s="1"/>
      <c r="B32" s="2"/>
      <c r="C32" s="29">
        <v>22</v>
      </c>
      <c r="D32" s="54"/>
      <c r="E32" s="27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16.5" customHeight="1">
      <c r="A33" s="1"/>
      <c r="B33" s="2"/>
      <c r="C33" s="25">
        <v>23</v>
      </c>
      <c r="D33" s="54"/>
      <c r="E33" s="27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16.5" customHeight="1">
      <c r="A34" s="1"/>
      <c r="B34" s="2"/>
      <c r="C34" s="25">
        <v>24</v>
      </c>
      <c r="D34" s="54"/>
      <c r="E34" s="27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6.5" customHeight="1">
      <c r="A35" s="1"/>
      <c r="B35" s="2"/>
      <c r="C35" s="29">
        <v>25</v>
      </c>
      <c r="D35" s="54"/>
      <c r="E35" s="27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13.5" customHeight="1">
      <c r="A36" s="1"/>
      <c r="B36" s="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3.5" customHeight="1">
      <c r="A37" s="1"/>
      <c r="B37" s="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13.5" customHeight="1">
      <c r="A38" s="44"/>
      <c r="B38" s="4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3.5" customHeight="1">
      <c r="A39" s="44"/>
      <c r="B39" s="45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13.5" customHeight="1">
      <c r="A40" s="44"/>
      <c r="B40" s="45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3.5" customHeight="1">
      <c r="A41" s="44"/>
      <c r="B41" s="45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13.5" customHeight="1">
      <c r="A42" s="44"/>
      <c r="B42" s="45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3.5" customHeight="1">
      <c r="A43" s="44"/>
      <c r="B43" s="45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3.5" customHeight="1">
      <c r="A44" s="44"/>
      <c r="B44" s="45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3.5" customHeight="1">
      <c r="A45" s="44"/>
      <c r="B45" s="45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3.5" customHeight="1">
      <c r="A46" s="44"/>
      <c r="B46" s="45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3.5" customHeight="1">
      <c r="A47" s="44"/>
      <c r="B47" s="45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13.5" customHeight="1">
      <c r="A48" s="44"/>
      <c r="B48" s="45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13.5" customHeight="1">
      <c r="A49" s="44"/>
      <c r="B49" s="45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3.5" customHeight="1">
      <c r="A50" s="44"/>
      <c r="B50" s="45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13.5" customHeight="1">
      <c r="A51" s="44"/>
      <c r="B51" s="45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3.5" customHeight="1">
      <c r="A52" s="44"/>
      <c r="B52" s="45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3.5" customHeight="1">
      <c r="A53" s="44"/>
      <c r="B53" s="45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3.5" customHeight="1">
      <c r="A54" s="44"/>
      <c r="B54" s="45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3.5" customHeight="1">
      <c r="A55" s="44"/>
      <c r="B55" s="45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13.5" customHeight="1">
      <c r="A56" s="44"/>
      <c r="B56" s="45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3.5" customHeight="1">
      <c r="A57" s="44"/>
      <c r="B57" s="45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3.5" customHeight="1">
      <c r="A58" s="44"/>
      <c r="B58" s="45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3.5" customHeight="1">
      <c r="A59" s="44"/>
      <c r="B59" s="4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3.5" customHeight="1">
      <c r="A60" s="44"/>
      <c r="B60" s="45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3.5" customHeight="1">
      <c r="A61" s="44"/>
      <c r="B61" s="45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13.5" customHeight="1">
      <c r="A62" s="44"/>
      <c r="B62" s="45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3.5" customHeight="1">
      <c r="A63" s="44"/>
      <c r="B63" s="45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13.5" customHeight="1">
      <c r="A64" s="44"/>
      <c r="B64" s="45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3.5" customHeight="1">
      <c r="A65" s="44"/>
      <c r="B65" s="45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3.5" customHeight="1">
      <c r="A66" s="44"/>
      <c r="B66" s="45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3.5" customHeight="1">
      <c r="A67" s="44"/>
      <c r="B67" s="45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3.5" customHeight="1">
      <c r="A68" s="44"/>
      <c r="B68" s="45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3.5" customHeight="1">
      <c r="A69" s="44"/>
      <c r="B69" s="45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3.5" customHeight="1">
      <c r="A70" s="44"/>
      <c r="B70" s="45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ht="13.5" customHeight="1">
      <c r="A71" s="44"/>
      <c r="B71" s="45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3.5" customHeight="1">
      <c r="A72" s="44"/>
      <c r="B72" s="45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13.5" customHeight="1">
      <c r="A73" s="44"/>
      <c r="B73" s="45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ht="13.5" customHeight="1">
      <c r="A74" s="44"/>
      <c r="B74" s="45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13.5" customHeight="1">
      <c r="A75" s="44"/>
      <c r="B75" s="45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ht="13.5" customHeight="1">
      <c r="A76" s="44"/>
      <c r="B76" s="45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ht="13.5" customHeight="1">
      <c r="A77" s="44"/>
      <c r="B77" s="45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ht="13.5" customHeight="1">
      <c r="A78" s="44"/>
      <c r="B78" s="45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3.5" customHeight="1">
      <c r="A79" s="44"/>
      <c r="B79" s="45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3.5" customHeight="1">
      <c r="A80" s="44"/>
      <c r="B80" s="45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3.5" customHeight="1">
      <c r="A81" s="44"/>
      <c r="B81" s="45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3.5" customHeight="1">
      <c r="A82" s="44"/>
      <c r="B82" s="45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3.5" customHeight="1">
      <c r="A83" s="44"/>
      <c r="B83" s="45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3.5" customHeight="1">
      <c r="A84" s="44"/>
      <c r="B84" s="45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3.5" customHeight="1">
      <c r="A85" s="44"/>
      <c r="B85" s="45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ht="13.5" customHeight="1">
      <c r="A86" s="44"/>
      <c r="B86" s="45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ht="13.5" customHeight="1">
      <c r="A87" s="44"/>
      <c r="B87" s="45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ht="13.5" customHeight="1">
      <c r="A88" s="44"/>
      <c r="B88" s="45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ht="13.5" customHeight="1">
      <c r="A89" s="44"/>
      <c r="B89" s="45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3.5" customHeight="1">
      <c r="A90" s="44"/>
      <c r="B90" s="45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3.5" customHeight="1">
      <c r="A91" s="44"/>
      <c r="B91" s="45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3.5" customHeight="1">
      <c r="A92" s="44"/>
      <c r="B92" s="45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ht="13.5" customHeight="1">
      <c r="A93" s="44"/>
      <c r="B93" s="45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13.5" customHeight="1">
      <c r="A94" s="44"/>
      <c r="B94" s="45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ht="13.5" customHeight="1">
      <c r="A95" s="44"/>
      <c r="B95" s="45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3.5" customHeight="1">
      <c r="A96" s="44"/>
      <c r="B96" s="45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3.5" customHeight="1">
      <c r="A97" s="44"/>
      <c r="B97" s="45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ht="13.5" customHeight="1">
      <c r="A98" s="44"/>
      <c r="B98" s="45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ht="13.5" customHeight="1">
      <c r="A99" s="44"/>
      <c r="B99" s="45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ht="13.5" customHeight="1">
      <c r="A100" s="44"/>
      <c r="B100" s="45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ht="13.5" customHeight="1">
      <c r="A101" s="44"/>
      <c r="B101" s="45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ht="13.5" customHeight="1">
      <c r="A102" s="44"/>
      <c r="B102" s="45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ht="13.5" customHeight="1">
      <c r="A103" s="44"/>
      <c r="B103" s="45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ht="13.5" customHeight="1">
      <c r="A104" s="44"/>
      <c r="B104" s="45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ht="13.5" customHeight="1">
      <c r="A105" s="44"/>
      <c r="B105" s="45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ht="13.5" customHeight="1">
      <c r="A106" s="44"/>
      <c r="B106" s="45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ht="13.5" customHeight="1">
      <c r="A107" s="44"/>
      <c r="B107" s="45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ht="13.5" customHeight="1">
      <c r="A108" s="44"/>
      <c r="B108" s="45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ht="13.5" customHeight="1">
      <c r="A109" s="44"/>
      <c r="B109" s="45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ht="13.5" customHeight="1">
      <c r="A110" s="44"/>
      <c r="B110" s="45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ht="13.5" customHeight="1">
      <c r="A111" s="44"/>
      <c r="B111" s="45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3.5" customHeight="1">
      <c r="A112" s="44"/>
      <c r="B112" s="45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3.5" customHeight="1">
      <c r="A113" s="44"/>
      <c r="B113" s="45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3.5" customHeight="1">
      <c r="A114" s="44"/>
      <c r="B114" s="45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3.5" customHeight="1">
      <c r="A115" s="44"/>
      <c r="B115" s="45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3.5" customHeight="1">
      <c r="A116" s="44"/>
      <c r="B116" s="45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ht="13.5" customHeight="1">
      <c r="A117" s="3"/>
      <c r="B117" s="3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ht="13.5" customHeight="1">
      <c r="A118" s="3"/>
      <c r="B118" s="3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ht="13.5" customHeight="1">
      <c r="A119" s="3"/>
      <c r="B119" s="3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ht="13.5" customHeight="1">
      <c r="A120" s="3"/>
      <c r="B120" s="3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3.5" customHeight="1">
      <c r="A121" s="3"/>
      <c r="B121" s="3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spans="1:25" ht="13.5" customHeight="1">
      <c r="A122" s="3"/>
      <c r="B122" s="3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ht="13.5" customHeight="1">
      <c r="A123" s="3"/>
      <c r="B123" s="3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spans="1:25" ht="13.5" customHeight="1">
      <c r="A124" s="3"/>
      <c r="B124" s="3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spans="1:25" ht="13.5" customHeight="1">
      <c r="A125" s="3"/>
      <c r="B125" s="3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spans="1:25" ht="13.5" customHeight="1">
      <c r="A126" s="3"/>
      <c r="B126" s="3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ht="13.5" customHeight="1">
      <c r="A127" s="3"/>
      <c r="B127" s="3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ht="13.5" customHeight="1">
      <c r="A128" s="3"/>
      <c r="B128" s="3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ht="13.5" customHeight="1">
      <c r="A129" s="3"/>
      <c r="B129" s="3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ht="13.5" customHeight="1">
      <c r="A130" s="3"/>
      <c r="B130" s="3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13.5" customHeight="1">
      <c r="A131" s="3"/>
      <c r="B131" s="3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ht="13.5" customHeight="1">
      <c r="A132" s="3"/>
      <c r="B132" s="3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ht="13.5" customHeight="1">
      <c r="A133" s="3"/>
      <c r="B133" s="3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ht="13.5" customHeight="1">
      <c r="A134" s="3"/>
      <c r="B134" s="3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ht="13.5" customHeight="1">
      <c r="A135" s="3"/>
      <c r="B135" s="3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ht="13.5" customHeight="1">
      <c r="A136" s="3"/>
      <c r="B136" s="3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ht="13.5" customHeight="1">
      <c r="A137" s="3"/>
      <c r="B137" s="3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ht="13.5" customHeight="1">
      <c r="A138" s="3"/>
      <c r="B138" s="3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ht="13.5" customHeight="1">
      <c r="A139" s="3"/>
      <c r="B139" s="3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ht="13.5" customHeight="1">
      <c r="A140" s="3"/>
      <c r="B140" s="3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ht="13.5" customHeight="1">
      <c r="A141" s="3"/>
      <c r="B141" s="3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3.5" customHeight="1">
      <c r="A142" s="3"/>
      <c r="B142" s="3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ht="13.5" customHeight="1">
      <c r="A143" s="3"/>
      <c r="B143" s="3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ht="13.5" customHeight="1">
      <c r="A144" s="3"/>
      <c r="B144" s="3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ht="13.5" customHeight="1">
      <c r="A145" s="3"/>
      <c r="B145" s="3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ht="13.5" customHeight="1">
      <c r="A146" s="3"/>
      <c r="B146" s="3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ht="13.5" customHeight="1">
      <c r="A147" s="3"/>
      <c r="B147" s="3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ht="13.5" customHeight="1">
      <c r="A148" s="3"/>
      <c r="B148" s="3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3.5" customHeight="1">
      <c r="A149" s="3"/>
      <c r="B149" s="3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ht="13.5" customHeight="1">
      <c r="A150" s="3"/>
      <c r="B150" s="3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ht="13.5" customHeight="1">
      <c r="A151" s="3"/>
      <c r="B151" s="3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13.5" customHeight="1">
      <c r="A152" s="3"/>
      <c r="B152" s="3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spans="1:25" ht="13.5" customHeight="1">
      <c r="A153" s="3"/>
      <c r="B153" s="3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spans="1:25" ht="13.5" customHeight="1">
      <c r="A154" s="3"/>
      <c r="B154" s="3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spans="1:25" ht="13.5" customHeight="1">
      <c r="A155" s="3"/>
      <c r="B155" s="3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spans="1:25" ht="13.5" customHeight="1">
      <c r="A156" s="3"/>
      <c r="B156" s="3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spans="1:25" ht="13.5" customHeight="1">
      <c r="A157" s="3"/>
      <c r="B157" s="3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spans="1:25" ht="13.5" customHeight="1">
      <c r="A158" s="3"/>
      <c r="B158" s="3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ht="13.5" customHeight="1">
      <c r="A159" s="3"/>
      <c r="B159" s="3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spans="1:25" ht="13.5" customHeight="1">
      <c r="A160" s="3"/>
      <c r="B160" s="3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5" ht="13.5" customHeight="1">
      <c r="A161" s="3"/>
      <c r="B161" s="3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spans="1:25" ht="13.5" customHeight="1">
      <c r="A162" s="3"/>
      <c r="B162" s="3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spans="1:25" ht="13.5" customHeight="1">
      <c r="A163" s="3"/>
      <c r="B163" s="3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spans="1:25" ht="13.5" customHeight="1">
      <c r="A164" s="3"/>
      <c r="B164" s="3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ht="13.5" customHeight="1">
      <c r="A165" s="3"/>
      <c r="B165" s="3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spans="1:25" ht="13.5" customHeight="1">
      <c r="A166" s="3"/>
      <c r="B166" s="3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1:25" ht="13.5" customHeight="1">
      <c r="A167" s="3"/>
      <c r="B167" s="3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ht="13.5" customHeight="1">
      <c r="A168" s="3"/>
      <c r="B168" s="3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ht="13.5" customHeight="1">
      <c r="A169" s="3"/>
      <c r="B169" s="3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ht="13.5" customHeight="1">
      <c r="A170" s="3"/>
      <c r="B170" s="3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ht="13.5" customHeight="1">
      <c r="A171" s="3"/>
      <c r="B171" s="3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13.5" customHeight="1">
      <c r="A172" s="3"/>
      <c r="B172" s="3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ht="13.5" customHeight="1">
      <c r="A173" s="3"/>
      <c r="B173" s="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ht="13.5" customHeight="1">
      <c r="A174" s="3"/>
      <c r="B174" s="3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ht="13.5" customHeight="1">
      <c r="A175" s="3"/>
      <c r="B175" s="3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ht="13.5" customHeight="1">
      <c r="A176" s="3"/>
      <c r="B176" s="3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spans="1:25" ht="13.5" customHeight="1">
      <c r="A177" s="3"/>
      <c r="B177" s="3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spans="1:25" ht="13.5" customHeight="1">
      <c r="A178" s="3"/>
      <c r="B178" s="3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spans="1:25" ht="13.5" customHeight="1">
      <c r="A179" s="3"/>
      <c r="B179" s="3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spans="1:25" ht="13.5" customHeight="1">
      <c r="A180" s="3"/>
      <c r="B180" s="3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spans="1:25" ht="13.5" customHeight="1">
      <c r="A181" s="3"/>
      <c r="B181" s="3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spans="1:25" ht="13.5" customHeight="1">
      <c r="A182" s="3"/>
      <c r="B182" s="3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spans="1:25" ht="13.5" customHeight="1">
      <c r="A183" s="3"/>
      <c r="B183" s="3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spans="1:25" ht="13.5" customHeight="1">
      <c r="A184" s="3"/>
      <c r="B184" s="3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5" ht="13.5" customHeight="1">
      <c r="A185" s="3"/>
      <c r="B185" s="3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5" ht="13.5" customHeight="1">
      <c r="A186" s="3"/>
      <c r="B186" s="3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spans="1:25" ht="13.5" customHeight="1">
      <c r="A187" s="3"/>
      <c r="B187" s="3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5" ht="13.5" customHeight="1">
      <c r="A188" s="3"/>
      <c r="B188" s="3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13.5" customHeight="1">
      <c r="A189" s="3"/>
      <c r="B189" s="3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3.5" customHeight="1">
      <c r="A190" s="3"/>
      <c r="B190" s="3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spans="1:25" ht="13.5" customHeight="1">
      <c r="A191" s="3"/>
      <c r="B191" s="3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spans="1:25" ht="13.5" customHeight="1">
      <c r="A192" s="3"/>
      <c r="B192" s="3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spans="1:25" ht="13.5" customHeight="1">
      <c r="A193" s="3"/>
      <c r="B193" s="3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spans="1:25" ht="13.5" customHeight="1">
      <c r="A194" s="3"/>
      <c r="B194" s="3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3.5" customHeight="1">
      <c r="A195" s="3"/>
      <c r="B195" s="3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spans="1:25" ht="13.5" customHeight="1">
      <c r="A196" s="3"/>
      <c r="B196" s="3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5" ht="13.5" customHeight="1">
      <c r="A197" s="3"/>
      <c r="B197" s="3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spans="1:25" ht="13.5" customHeight="1">
      <c r="A198" s="3"/>
      <c r="B198" s="3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spans="1:25" ht="13.5" customHeight="1">
      <c r="A199" s="3"/>
      <c r="B199" s="3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3.5" customHeight="1">
      <c r="A200" s="3"/>
      <c r="B200" s="3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5" ht="13.5" customHeight="1">
      <c r="A201" s="3"/>
      <c r="B201" s="3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spans="1:25" ht="13.5" customHeight="1">
      <c r="A202" s="3"/>
      <c r="B202" s="3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pans="1:25" ht="13.5" customHeight="1">
      <c r="A203" s="3"/>
      <c r="B203" s="3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pans="1:25" ht="13.5" customHeight="1">
      <c r="A204" s="3"/>
      <c r="B204" s="3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1:25" ht="13.5" customHeight="1">
      <c r="A205" s="3"/>
      <c r="B205" s="3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5" ht="13.5" customHeight="1">
      <c r="A206" s="3"/>
      <c r="B206" s="3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pans="1:25" ht="13.5" customHeight="1">
      <c r="A207" s="3"/>
      <c r="B207" s="3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5" ht="13.5" customHeight="1">
      <c r="A208" s="3"/>
      <c r="B208" s="3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pans="1:25" ht="13.5" customHeight="1">
      <c r="A209" s="3"/>
      <c r="B209" s="3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pans="1:25" ht="13.5" customHeight="1">
      <c r="A210" s="3"/>
      <c r="B210" s="3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pans="1:25" ht="13.5" customHeight="1">
      <c r="A211" s="3"/>
      <c r="B211" s="3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pans="1:25" ht="13.5" customHeight="1">
      <c r="A212" s="3"/>
      <c r="B212" s="3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pans="1:25" ht="13.5" customHeight="1">
      <c r="A213" s="3"/>
      <c r="B213" s="3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pans="1:25" ht="13.5" customHeight="1">
      <c r="A214" s="3"/>
      <c r="B214" s="3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pans="1:25" ht="13.5" customHeight="1">
      <c r="A215" s="3"/>
      <c r="B215" s="3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pans="1:25" ht="13.5" customHeight="1">
      <c r="A216" s="3"/>
      <c r="B216" s="3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pans="1:25" ht="13.5" customHeight="1">
      <c r="A217" s="3"/>
      <c r="B217" s="3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pans="1:25" ht="13.5" customHeight="1">
      <c r="A218" s="3"/>
      <c r="B218" s="3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pans="1:25" ht="13.5" customHeight="1">
      <c r="A219" s="3"/>
      <c r="B219" s="3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pans="1:25" ht="13.5" customHeight="1">
      <c r="A220" s="3"/>
      <c r="B220" s="3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pans="1:25" ht="13.5" customHeight="1">
      <c r="A221" s="3"/>
      <c r="B221" s="3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pans="1:25" ht="13.5" customHeight="1">
      <c r="A222" s="3"/>
      <c r="B222" s="3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pans="1:25" ht="13.5" customHeight="1">
      <c r="A223" s="3"/>
      <c r="B223" s="3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pans="1:25" ht="13.5" customHeight="1">
      <c r="A224" s="3"/>
      <c r="B224" s="3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pans="1:25" ht="13.5" customHeight="1">
      <c r="A225" s="3"/>
      <c r="B225" s="3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pans="1:25" ht="13.5" customHeight="1">
      <c r="A226" s="3"/>
      <c r="B226" s="3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pans="1:25" ht="13.5" customHeight="1">
      <c r="A227" s="3"/>
      <c r="B227" s="3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13.5" customHeight="1">
      <c r="A228" s="3"/>
      <c r="B228" s="3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pans="1:25" ht="13.5" customHeight="1">
      <c r="A229" s="3"/>
      <c r="B229" s="3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pans="1:25" ht="13.5" customHeight="1">
      <c r="A230" s="3"/>
      <c r="B230" s="3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pans="1:25" ht="13.5" customHeight="1">
      <c r="A231" s="3"/>
      <c r="B231" s="3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pans="1:25" ht="13.5" customHeight="1">
      <c r="A232" s="3"/>
      <c r="B232" s="3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pans="1:25" ht="13.5" customHeight="1">
      <c r="A233" s="3"/>
      <c r="B233" s="3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pans="1:25" ht="13.5" customHeight="1">
      <c r="A234" s="3"/>
      <c r="B234" s="3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ht="13.5" customHeight="1">
      <c r="A235" s="3"/>
      <c r="B235" s="3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H2"/>
  </mergeCells>
  <conditionalFormatting sqref="E11:E35">
    <cfRule type="containsText" dxfId="2" priority="1" operator="containsText" text="N/A">
      <formula>NOT(ISERROR(SEARCH(("N/A"),(E11))))</formula>
    </cfRule>
  </conditionalFormatting>
  <conditionalFormatting sqref="E11:E35">
    <cfRule type="containsText" dxfId="1" priority="2" operator="containsText" text="Oui">
      <formula>NOT(ISERROR(SEARCH(("Oui"),(E11))))</formula>
    </cfRule>
  </conditionalFormatting>
  <conditionalFormatting sqref="E11:E35">
    <cfRule type="containsText" dxfId="0" priority="3" operator="containsText" text="Non">
      <formula>NOT(ISERROR(SEARCH(("Non"),(E11))))</formula>
    </cfRule>
  </conditionalFormatting>
  <dataValidations count="1">
    <dataValidation type="list" allowBlank="1" showErrorMessage="1" sqref="E11:E35" xr:uid="{00000000-0002-0000-0100-000000000000}">
      <formula1>"Oui,Non,N/A"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Z99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4.7265625" customWidth="1"/>
    <col min="4" max="4" width="35.08984375" customWidth="1"/>
    <col min="5" max="5" width="14.54296875" customWidth="1"/>
    <col min="6" max="8" width="18" customWidth="1"/>
    <col min="9" max="9" width="32.81640625" customWidth="1"/>
    <col min="10" max="11" width="18" customWidth="1"/>
    <col min="12" max="13" width="18.08984375" customWidth="1"/>
    <col min="14" max="19" width="9.08984375" customWidth="1"/>
    <col min="20" max="21" width="10.54296875" customWidth="1"/>
    <col min="22" max="26" width="14.54296875" customWidth="1"/>
  </cols>
  <sheetData>
    <row r="1" spans="1:26" ht="8.25" customHeight="1">
      <c r="A1" s="1"/>
      <c r="B1" s="2"/>
      <c r="C1" s="50"/>
      <c r="D1" s="50"/>
      <c r="E1" s="50"/>
      <c r="F1" s="50"/>
      <c r="G1" s="50"/>
      <c r="H1" s="55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7.25" customHeight="1">
      <c r="A2" s="1"/>
      <c r="B2" s="2"/>
      <c r="C2" s="50"/>
      <c r="D2" s="340" t="s">
        <v>76</v>
      </c>
      <c r="E2" s="341"/>
      <c r="F2" s="341"/>
      <c r="G2" s="341"/>
      <c r="H2" s="371" t="s">
        <v>77</v>
      </c>
      <c r="I2" s="348"/>
      <c r="J2" s="348"/>
      <c r="K2" s="348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7.25" customHeight="1">
      <c r="A3" s="1"/>
      <c r="B3" s="2"/>
      <c r="C3" s="50"/>
      <c r="D3" s="341"/>
      <c r="E3" s="341"/>
      <c r="F3" s="341"/>
      <c r="G3" s="341"/>
      <c r="H3" s="372" t="s">
        <v>78</v>
      </c>
      <c r="I3" s="348"/>
      <c r="J3" s="348"/>
      <c r="K3" s="34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7.25" customHeight="1">
      <c r="A4" s="1"/>
      <c r="B4" s="2"/>
      <c r="C4" s="50"/>
      <c r="D4" s="341"/>
      <c r="E4" s="341"/>
      <c r="F4" s="341"/>
      <c r="G4" s="341"/>
      <c r="H4" s="50"/>
      <c r="I4" s="56"/>
      <c r="J4" s="56"/>
      <c r="K4" s="56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7.25" customHeight="1">
      <c r="A5" s="1"/>
      <c r="B5" s="2"/>
      <c r="C5" s="50"/>
      <c r="D5" s="57" t="s">
        <v>0</v>
      </c>
      <c r="E5" s="58" t="s">
        <v>79</v>
      </c>
      <c r="F5" s="56" t="s">
        <v>80</v>
      </c>
      <c r="G5" s="59">
        <v>2021</v>
      </c>
      <c r="H5" s="59">
        <f t="shared" ref="H5:K5" si="0">G5+1</f>
        <v>2022</v>
      </c>
      <c r="I5" s="59">
        <f t="shared" si="0"/>
        <v>2023</v>
      </c>
      <c r="J5" s="59">
        <f t="shared" si="0"/>
        <v>2024</v>
      </c>
      <c r="K5" s="59">
        <f t="shared" si="0"/>
        <v>2025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7.25" customHeight="1">
      <c r="A6" s="1"/>
      <c r="B6" s="2"/>
      <c r="C6" s="50"/>
      <c r="D6" s="60"/>
      <c r="E6" s="58"/>
      <c r="F6" s="56"/>
      <c r="G6" s="56"/>
      <c r="H6" s="56"/>
      <c r="I6" s="56"/>
      <c r="J6" s="56"/>
      <c r="K6" s="56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7.25" customHeight="1">
      <c r="A7" s="1"/>
      <c r="B7" s="2"/>
      <c r="C7" s="50"/>
      <c r="D7" s="50"/>
      <c r="E7" s="6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7.25" customHeight="1">
      <c r="A8" s="1"/>
      <c r="B8" s="2"/>
      <c r="C8" s="50"/>
      <c r="D8" s="62" t="s">
        <v>81</v>
      </c>
      <c r="E8" s="63"/>
      <c r="F8" s="64"/>
      <c r="G8" s="64"/>
      <c r="H8" s="64"/>
      <c r="I8" s="64"/>
      <c r="J8" s="64"/>
      <c r="K8" s="64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7.25" customHeight="1">
      <c r="A9" s="1"/>
      <c r="B9" s="2"/>
      <c r="C9" s="50"/>
      <c r="D9" s="65" t="s">
        <v>82</v>
      </c>
      <c r="E9" s="6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7.25" customHeight="1">
      <c r="A10" s="1"/>
      <c r="B10" s="2"/>
      <c r="C10" s="50"/>
      <c r="D10" s="65"/>
      <c r="E10" s="61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7.25" customHeight="1">
      <c r="A11" s="1"/>
      <c r="B11" s="2"/>
      <c r="C11" s="50"/>
      <c r="D11" s="66" t="s">
        <v>83</v>
      </c>
      <c r="E11" s="67" t="s">
        <v>84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7.25" customHeight="1">
      <c r="A12" s="1"/>
      <c r="B12" s="2"/>
      <c r="C12" s="50"/>
      <c r="D12" s="50"/>
      <c r="E12" s="6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7.25" customHeight="1">
      <c r="A13" s="1"/>
      <c r="B13" s="2"/>
      <c r="C13" s="50"/>
      <c r="D13" s="66" t="s">
        <v>85</v>
      </c>
      <c r="E13" s="67" t="s">
        <v>86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7.25" customHeight="1">
      <c r="A14" s="1"/>
      <c r="B14" s="2"/>
      <c r="C14" s="50"/>
      <c r="D14" s="50"/>
      <c r="E14" s="61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7.25" customHeight="1">
      <c r="A15" s="1"/>
      <c r="B15" s="2"/>
      <c r="C15" s="50"/>
      <c r="D15" s="66" t="s">
        <v>87</v>
      </c>
      <c r="E15" s="61"/>
      <c r="F15" s="50"/>
      <c r="G15" s="50"/>
      <c r="H15" s="50"/>
      <c r="I15" s="66" t="s">
        <v>88</v>
      </c>
      <c r="J15" s="6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7.25" customHeight="1">
      <c r="A16" s="1"/>
      <c r="B16" s="2"/>
      <c r="C16" s="50"/>
      <c r="D16" s="68" t="s">
        <v>89</v>
      </c>
      <c r="E16" s="370" t="s">
        <v>90</v>
      </c>
      <c r="F16" s="368"/>
      <c r="G16" s="369"/>
      <c r="H16" s="50"/>
      <c r="I16" s="68" t="s">
        <v>91</v>
      </c>
      <c r="J16" s="367" t="s">
        <v>92</v>
      </c>
      <c r="K16" s="368"/>
      <c r="L16" s="369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7.25" customHeight="1">
      <c r="A17" s="1"/>
      <c r="B17" s="2"/>
      <c r="C17" s="50"/>
      <c r="D17" s="68" t="s">
        <v>93</v>
      </c>
      <c r="E17" s="370" t="s">
        <v>94</v>
      </c>
      <c r="F17" s="368"/>
      <c r="G17" s="369"/>
      <c r="H17" s="50"/>
      <c r="I17" s="68" t="s">
        <v>91</v>
      </c>
      <c r="J17" s="367" t="s">
        <v>95</v>
      </c>
      <c r="K17" s="368"/>
      <c r="L17" s="369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7.25" customHeight="1">
      <c r="A18" s="1"/>
      <c r="B18" s="2"/>
      <c r="C18" s="50"/>
      <c r="D18" s="68" t="s">
        <v>96</v>
      </c>
      <c r="E18" s="370" t="s">
        <v>97</v>
      </c>
      <c r="F18" s="368"/>
      <c r="G18" s="369"/>
      <c r="H18" s="50"/>
      <c r="I18" s="68" t="s">
        <v>91</v>
      </c>
      <c r="J18" s="367" t="s">
        <v>98</v>
      </c>
      <c r="K18" s="368"/>
      <c r="L18" s="369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7.25" customHeight="1">
      <c r="A19" s="1"/>
      <c r="B19" s="2"/>
      <c r="C19" s="50"/>
      <c r="D19" s="68" t="s">
        <v>99</v>
      </c>
      <c r="E19" s="370" t="s">
        <v>100</v>
      </c>
      <c r="F19" s="368"/>
      <c r="G19" s="369"/>
      <c r="H19" s="50"/>
      <c r="I19" s="68" t="s">
        <v>91</v>
      </c>
      <c r="J19" s="367" t="s">
        <v>101</v>
      </c>
      <c r="K19" s="368"/>
      <c r="L19" s="36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7.25" customHeight="1">
      <c r="A20" s="1"/>
      <c r="B20" s="2"/>
      <c r="C20" s="50"/>
      <c r="D20" s="68" t="s">
        <v>102</v>
      </c>
      <c r="E20" s="370" t="s">
        <v>103</v>
      </c>
      <c r="F20" s="368"/>
      <c r="G20" s="369"/>
      <c r="H20" s="50"/>
      <c r="I20" s="68" t="s">
        <v>91</v>
      </c>
      <c r="J20" s="367" t="s">
        <v>104</v>
      </c>
      <c r="K20" s="368"/>
      <c r="L20" s="369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7.25" customHeight="1">
      <c r="A21" s="1"/>
      <c r="B21" s="2"/>
      <c r="C21" s="50"/>
      <c r="D21" s="50"/>
      <c r="E21" s="61"/>
      <c r="F21" s="50"/>
      <c r="G21" s="50"/>
      <c r="H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7.25" customHeight="1">
      <c r="A22" s="1"/>
      <c r="B22" s="2"/>
      <c r="C22" s="50"/>
      <c r="D22" s="50" t="s">
        <v>105</v>
      </c>
      <c r="E22" s="69" t="s">
        <v>106</v>
      </c>
      <c r="F22" s="70">
        <v>0.3</v>
      </c>
      <c r="G22" s="71" t="str">
        <f>IF(Taux_IS="","Required field","")</f>
        <v/>
      </c>
      <c r="H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7.25" customHeight="1">
      <c r="A23" s="1"/>
      <c r="B23" s="2"/>
      <c r="C23" s="50"/>
      <c r="D23" s="50" t="s">
        <v>107</v>
      </c>
      <c r="E23" s="69" t="s">
        <v>106</v>
      </c>
      <c r="F23" s="72">
        <v>9</v>
      </c>
      <c r="G23" s="71"/>
      <c r="H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7.25" customHeight="1">
      <c r="A24" s="1"/>
      <c r="B24" s="2"/>
      <c r="C24" s="50"/>
      <c r="D24" s="50" t="s">
        <v>108</v>
      </c>
      <c r="E24" s="69" t="s">
        <v>106</v>
      </c>
      <c r="F24" s="70">
        <v>1.12E-2</v>
      </c>
      <c r="G24" s="71" t="str">
        <f>IF(Inflation="","Required field","")</f>
        <v/>
      </c>
      <c r="H24" s="73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7.25" customHeight="1">
      <c r="A25" s="1"/>
      <c r="B25" s="2"/>
      <c r="C25" s="50"/>
      <c r="D25" s="50" t="s">
        <v>109</v>
      </c>
      <c r="E25" s="69" t="s">
        <v>110</v>
      </c>
      <c r="F25" s="74">
        <v>365</v>
      </c>
      <c r="G25" s="71"/>
      <c r="H25" s="73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7.25" customHeight="1">
      <c r="A26" s="1"/>
      <c r="B26" s="2"/>
      <c r="C26" s="50"/>
      <c r="D26" s="50" t="s">
        <v>111</v>
      </c>
      <c r="E26" s="69" t="s">
        <v>112</v>
      </c>
      <c r="F26" s="74">
        <v>12</v>
      </c>
      <c r="G26" s="71"/>
      <c r="H26" s="73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7.25" customHeight="1">
      <c r="A27" s="1"/>
      <c r="B27" s="2"/>
      <c r="C27" s="50"/>
      <c r="D27" s="50" t="s">
        <v>113</v>
      </c>
      <c r="E27" s="69" t="s">
        <v>114</v>
      </c>
      <c r="F27" s="74">
        <v>52</v>
      </c>
      <c r="G27" s="71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7.25" customHeight="1">
      <c r="A28" s="1"/>
      <c r="B28" s="2"/>
      <c r="C28" s="50"/>
      <c r="D28" s="75" t="s">
        <v>115</v>
      </c>
      <c r="E28" s="69" t="s">
        <v>110</v>
      </c>
      <c r="F28" s="74">
        <v>30</v>
      </c>
      <c r="G28" s="71"/>
      <c r="H28" s="7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7.25" customHeight="1">
      <c r="A29" s="1"/>
      <c r="B29" s="2"/>
      <c r="C29" s="50"/>
      <c r="D29" s="75" t="s">
        <v>116</v>
      </c>
      <c r="E29" s="69" t="s">
        <v>110</v>
      </c>
      <c r="F29" s="74">
        <v>30</v>
      </c>
      <c r="G29" s="71"/>
      <c r="H29" s="73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7.25" customHeight="1">
      <c r="A30" s="1"/>
      <c r="B30" s="2"/>
      <c r="C30" s="50"/>
      <c r="D30" s="75" t="s">
        <v>117</v>
      </c>
      <c r="E30" s="69" t="s">
        <v>110</v>
      </c>
      <c r="F30" s="74">
        <v>60</v>
      </c>
      <c r="G30" s="71"/>
      <c r="H30" s="73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7.25" customHeight="1">
      <c r="A31" s="1"/>
      <c r="B31" s="2"/>
      <c r="C31" s="50"/>
      <c r="D31" s="50"/>
      <c r="E31" s="76"/>
      <c r="F31" s="71"/>
      <c r="G31" s="71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7.25" customHeight="1">
      <c r="A32" s="1"/>
      <c r="B32" s="2"/>
      <c r="C32" s="50"/>
      <c r="D32" s="66" t="s">
        <v>118</v>
      </c>
      <c r="E32" s="76"/>
      <c r="F32" s="76"/>
      <c r="G32" s="76"/>
      <c r="H32" s="76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7.25" customHeight="1">
      <c r="A33" s="1"/>
      <c r="B33" s="2"/>
      <c r="C33" s="50"/>
      <c r="D33" s="77" t="s">
        <v>119</v>
      </c>
      <c r="E33" s="76" t="s">
        <v>120</v>
      </c>
      <c r="F33" s="78">
        <v>0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7.25" customHeight="1">
      <c r="A34" s="1"/>
      <c r="B34" s="2"/>
      <c r="C34" s="50"/>
      <c r="D34" s="77" t="s">
        <v>121</v>
      </c>
      <c r="E34" s="76" t="s">
        <v>120</v>
      </c>
      <c r="F34" s="78">
        <v>10</v>
      </c>
      <c r="G34" s="50"/>
      <c r="H34" s="7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7.25" customHeight="1">
      <c r="A35" s="1"/>
      <c r="B35" s="2"/>
      <c r="C35" s="50"/>
      <c r="D35" s="77" t="s">
        <v>122</v>
      </c>
      <c r="E35" s="76" t="s">
        <v>120</v>
      </c>
      <c r="F35" s="78">
        <v>10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7.25" customHeight="1">
      <c r="A36" s="1"/>
      <c r="B36" s="2"/>
      <c r="C36" s="50"/>
      <c r="D36" s="77" t="s">
        <v>123</v>
      </c>
      <c r="E36" s="76" t="s">
        <v>120</v>
      </c>
      <c r="F36" s="78">
        <v>10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7.25" customHeight="1">
      <c r="A37" s="1"/>
      <c r="B37" s="2"/>
      <c r="C37" s="50"/>
      <c r="D37" s="77" t="s">
        <v>124</v>
      </c>
      <c r="E37" s="76" t="s">
        <v>120</v>
      </c>
      <c r="F37" s="78">
        <v>5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7.25" customHeight="1">
      <c r="A38" s="1"/>
      <c r="B38" s="2"/>
      <c r="C38" s="50"/>
      <c r="D38" s="77" t="s">
        <v>125</v>
      </c>
      <c r="E38" s="76" t="s">
        <v>120</v>
      </c>
      <c r="F38" s="78">
        <v>5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7.25" customHeight="1">
      <c r="A39" s="1"/>
      <c r="B39" s="2"/>
      <c r="C39" s="50"/>
      <c r="D39" s="77" t="s">
        <v>126</v>
      </c>
      <c r="E39" s="76" t="s">
        <v>120</v>
      </c>
      <c r="F39" s="78">
        <v>5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7.25" customHeight="1">
      <c r="A40" s="1"/>
      <c r="B40" s="2"/>
      <c r="C40" s="50"/>
      <c r="D40" s="50" t="s">
        <v>127</v>
      </c>
      <c r="E40" s="76" t="s">
        <v>106</v>
      </c>
      <c r="F40" s="79">
        <v>0.85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>
      <c r="A41" s="1"/>
      <c r="B41" s="2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7.25" customHeight="1">
      <c r="A42" s="1"/>
      <c r="B42" s="2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7.25" customHeight="1">
      <c r="A43" s="44"/>
      <c r="B43" s="45"/>
      <c r="C43" s="50"/>
      <c r="D43" s="62" t="s">
        <v>128</v>
      </c>
      <c r="E43" s="63"/>
      <c r="F43" s="64"/>
      <c r="G43" s="64"/>
      <c r="H43" s="64"/>
      <c r="I43" s="64"/>
      <c r="J43" s="64"/>
      <c r="K43" s="64"/>
      <c r="L43" s="8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7.25" customHeight="1">
      <c r="A44" s="44"/>
      <c r="B44" s="45"/>
      <c r="C44" s="50"/>
      <c r="D44" s="65" t="s">
        <v>129</v>
      </c>
      <c r="E44" s="61"/>
      <c r="F44" s="50"/>
      <c r="G44" s="50"/>
      <c r="H44" s="50"/>
      <c r="I44" s="50"/>
      <c r="J44" s="50"/>
      <c r="K44" s="50"/>
      <c r="L44" s="8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7.25" customHeight="1">
      <c r="A45" s="44"/>
      <c r="B45" s="45"/>
      <c r="C45" s="50"/>
      <c r="D45" s="50"/>
      <c r="E45" s="6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7.25" customHeight="1">
      <c r="A46" s="44"/>
      <c r="B46" s="45"/>
      <c r="C46" s="50"/>
      <c r="D46" s="81" t="s">
        <v>130</v>
      </c>
      <c r="E46" s="82"/>
      <c r="F46" s="83"/>
      <c r="G46" s="83"/>
      <c r="H46" s="83"/>
      <c r="I46" s="83" t="s">
        <v>131</v>
      </c>
      <c r="J46" s="83" t="s">
        <v>132</v>
      </c>
      <c r="K46" s="83" t="s">
        <v>133</v>
      </c>
      <c r="L46" s="83" t="s">
        <v>134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7.25" customHeight="1">
      <c r="A47" s="44"/>
      <c r="B47" s="45"/>
      <c r="C47" s="50"/>
      <c r="D47" s="84" t="str">
        <f>IF(E16="","Produit/Service 1",E16)</f>
        <v>Produit 1</v>
      </c>
      <c r="E47" s="61"/>
      <c r="F47" s="50"/>
      <c r="G47" s="85"/>
      <c r="H47" s="85"/>
      <c r="I47" s="86" t="str">
        <f t="shared" ref="I47:I52" si="1">D87</f>
        <v>Achat de matière et fourniture liée</v>
      </c>
      <c r="J47" s="87">
        <f t="shared" ref="J47:L47" si="2">SUM(J48:J52)</f>
        <v>125</v>
      </c>
      <c r="K47" s="87">
        <f t="shared" si="2"/>
        <v>1290</v>
      </c>
      <c r="L47" s="87">
        <f t="shared" si="2"/>
        <v>28300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7.25" customHeight="1">
      <c r="A48" s="44"/>
      <c r="B48" s="45"/>
      <c r="C48" s="50"/>
      <c r="D48" s="68" t="s">
        <v>135</v>
      </c>
      <c r="E48" s="76" t="s">
        <v>136</v>
      </c>
      <c r="F48" s="50"/>
      <c r="G48" s="87">
        <v>6</v>
      </c>
      <c r="H48" s="50"/>
      <c r="I48" s="88" t="str">
        <f t="shared" si="1"/>
        <v>Matière A</v>
      </c>
      <c r="J48" s="78">
        <v>10</v>
      </c>
      <c r="K48" s="78">
        <v>300</v>
      </c>
      <c r="L48" s="87">
        <f t="shared" ref="L48:L52" si="3">J48*K48</f>
        <v>3000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7.25" customHeight="1">
      <c r="A49" s="44"/>
      <c r="B49" s="45"/>
      <c r="C49" s="50"/>
      <c r="D49" s="68" t="s">
        <v>137</v>
      </c>
      <c r="E49" s="76" t="s">
        <v>138</v>
      </c>
      <c r="F49" s="50"/>
      <c r="G49" s="78">
        <v>10000</v>
      </c>
      <c r="H49" s="50"/>
      <c r="I49" s="88" t="str">
        <f t="shared" si="1"/>
        <v>Matière B</v>
      </c>
      <c r="J49" s="78">
        <v>70</v>
      </c>
      <c r="K49" s="78">
        <v>210</v>
      </c>
      <c r="L49" s="87">
        <f t="shared" si="3"/>
        <v>14700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7.25" customHeight="1">
      <c r="A50" s="44"/>
      <c r="B50" s="45"/>
      <c r="C50" s="50"/>
      <c r="D50" s="84" t="str">
        <f>IF(E17="","Produit/Service 2",E17)</f>
        <v>Produit 2</v>
      </c>
      <c r="E50" s="61"/>
      <c r="F50" s="50"/>
      <c r="G50" s="89"/>
      <c r="H50" s="50"/>
      <c r="I50" s="88" t="str">
        <f t="shared" si="1"/>
        <v>Matière C</v>
      </c>
      <c r="J50" s="78">
        <v>20</v>
      </c>
      <c r="K50" s="78">
        <v>230</v>
      </c>
      <c r="L50" s="87">
        <f t="shared" si="3"/>
        <v>4600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7.25" customHeight="1">
      <c r="A51" s="44"/>
      <c r="B51" s="45"/>
      <c r="C51" s="50"/>
      <c r="D51" s="68" t="s">
        <v>139</v>
      </c>
      <c r="E51" s="76" t="s">
        <v>136</v>
      </c>
      <c r="F51" s="50"/>
      <c r="G51" s="87">
        <v>5</v>
      </c>
      <c r="H51" s="50"/>
      <c r="I51" s="88" t="str">
        <f t="shared" si="1"/>
        <v>Matière D</v>
      </c>
      <c r="J51" s="78">
        <v>16</v>
      </c>
      <c r="K51" s="78">
        <v>150</v>
      </c>
      <c r="L51" s="87">
        <f t="shared" si="3"/>
        <v>2400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7.25" customHeight="1">
      <c r="A52" s="44"/>
      <c r="B52" s="45"/>
      <c r="C52" s="50"/>
      <c r="D52" s="68" t="s">
        <v>137</v>
      </c>
      <c r="E52" s="76" t="s">
        <v>138</v>
      </c>
      <c r="F52" s="50"/>
      <c r="G52" s="78">
        <v>15000</v>
      </c>
      <c r="H52" s="50"/>
      <c r="I52" s="88" t="str">
        <f t="shared" si="1"/>
        <v>Matière E</v>
      </c>
      <c r="J52" s="78">
        <v>9</v>
      </c>
      <c r="K52" s="78">
        <v>400</v>
      </c>
      <c r="L52" s="87">
        <f t="shared" si="3"/>
        <v>3600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7.25" customHeight="1">
      <c r="A53" s="44"/>
      <c r="B53" s="45"/>
      <c r="C53" s="50"/>
      <c r="D53" s="84" t="str">
        <f>IF(E18="","Produit/Service 3",E18)</f>
        <v>Produit 3</v>
      </c>
      <c r="E53" s="61"/>
      <c r="F53" s="50"/>
      <c r="G53" s="89"/>
      <c r="H53" s="50"/>
      <c r="I53" s="86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7.25" customHeight="1">
      <c r="A54" s="44"/>
      <c r="B54" s="45"/>
      <c r="C54" s="50"/>
      <c r="D54" s="68" t="s">
        <v>139</v>
      </c>
      <c r="E54" s="76" t="s">
        <v>136</v>
      </c>
      <c r="F54" s="50"/>
      <c r="G54" s="87">
        <v>4</v>
      </c>
      <c r="H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7.25" customHeight="1">
      <c r="A55" s="44"/>
      <c r="B55" s="45"/>
      <c r="C55" s="50"/>
      <c r="D55" s="68" t="s">
        <v>137</v>
      </c>
      <c r="E55" s="76" t="s">
        <v>138</v>
      </c>
      <c r="F55" s="50"/>
      <c r="G55" s="78">
        <v>20000</v>
      </c>
      <c r="H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7.25" customHeight="1">
      <c r="A56" s="44"/>
      <c r="B56" s="45"/>
      <c r="C56" s="50"/>
      <c r="D56" s="84" t="str">
        <f>IF(E19="","Produit/Service 3",E19)</f>
        <v>Produit 4</v>
      </c>
      <c r="E56" s="61"/>
      <c r="F56" s="50"/>
      <c r="G56" s="89"/>
      <c r="H56" s="50"/>
      <c r="I56" s="90"/>
      <c r="J56" s="9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7.25" customHeight="1">
      <c r="A57" s="44"/>
      <c r="B57" s="45"/>
      <c r="C57" s="50"/>
      <c r="D57" s="68" t="s">
        <v>139</v>
      </c>
      <c r="E57" s="76" t="s">
        <v>136</v>
      </c>
      <c r="F57" s="50"/>
      <c r="G57" s="87">
        <f>$F$27*G58</f>
        <v>0</v>
      </c>
      <c r="H57" s="50"/>
      <c r="I57" s="90"/>
      <c r="J57" s="9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7.25" customHeight="1">
      <c r="A58" s="44"/>
      <c r="B58" s="45"/>
      <c r="C58" s="50"/>
      <c r="D58" s="68" t="s">
        <v>137</v>
      </c>
      <c r="E58" s="76" t="s">
        <v>138</v>
      </c>
      <c r="F58" s="50"/>
      <c r="G58" s="78">
        <v>0</v>
      </c>
      <c r="H58" s="50"/>
      <c r="I58" s="90"/>
      <c r="J58" s="9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7.25" customHeight="1">
      <c r="A59" s="44"/>
      <c r="B59" s="45"/>
      <c r="C59" s="50"/>
      <c r="D59" s="84" t="str">
        <f>IF(E20="","Produit/Service 3",E20)</f>
        <v>Produit 5</v>
      </c>
      <c r="E59" s="61"/>
      <c r="F59" s="50"/>
      <c r="G59" s="89"/>
      <c r="H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7.25" customHeight="1">
      <c r="A60" s="44"/>
      <c r="B60" s="45"/>
      <c r="C60" s="50"/>
      <c r="D60" s="68" t="s">
        <v>139</v>
      </c>
      <c r="E60" s="76" t="s">
        <v>136</v>
      </c>
      <c r="F60" s="50"/>
      <c r="G60" s="87">
        <f>$F$27*G61</f>
        <v>0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7.25" customHeight="1">
      <c r="A61" s="44"/>
      <c r="B61" s="45"/>
      <c r="C61" s="50"/>
      <c r="D61" s="68" t="s">
        <v>137</v>
      </c>
      <c r="E61" s="76" t="s">
        <v>138</v>
      </c>
      <c r="F61" s="50"/>
      <c r="G61" s="78">
        <v>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7.25" customHeight="1">
      <c r="A62" s="44"/>
      <c r="B62" s="45"/>
      <c r="C62" s="50"/>
      <c r="D62" s="50"/>
      <c r="E62" s="61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7.25" customHeight="1">
      <c r="A63" s="44"/>
      <c r="B63" s="45"/>
      <c r="C63" s="50"/>
      <c r="D63" s="50"/>
      <c r="E63" s="61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7.25" customHeight="1">
      <c r="A64" s="44"/>
      <c r="B64" s="45"/>
      <c r="C64" s="50"/>
      <c r="D64" s="50"/>
      <c r="E64" s="6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7.25" customHeight="1">
      <c r="A65" s="44"/>
      <c r="B65" s="45"/>
      <c r="C65" s="50"/>
      <c r="D65" s="62" t="s">
        <v>140</v>
      </c>
      <c r="E65" s="63"/>
      <c r="F65" s="64"/>
      <c r="G65" s="64"/>
      <c r="H65" s="64"/>
      <c r="I65" s="64"/>
      <c r="J65" s="64"/>
      <c r="K65" s="64"/>
      <c r="L65" s="8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7.25" customHeight="1">
      <c r="A66" s="44"/>
      <c r="B66" s="45"/>
      <c r="C66" s="50"/>
      <c r="D66" s="65" t="s">
        <v>141</v>
      </c>
      <c r="E66" s="61"/>
      <c r="F66" s="50"/>
      <c r="G66" s="50"/>
      <c r="H66" s="50"/>
      <c r="I66" s="50"/>
      <c r="J66" s="50"/>
      <c r="K66" s="50"/>
      <c r="L66" s="8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7.25" customHeight="1">
      <c r="A67" s="44"/>
      <c r="B67" s="45"/>
      <c r="C67" s="50"/>
      <c r="D67" s="50"/>
      <c r="E67" s="61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7.25" customHeight="1">
      <c r="A68" s="44"/>
      <c r="B68" s="45"/>
      <c r="C68" s="50"/>
      <c r="D68" s="81" t="s">
        <v>130</v>
      </c>
      <c r="E68" s="82"/>
      <c r="F68" s="83"/>
      <c r="G68" s="83"/>
      <c r="H68" s="83"/>
      <c r="I68" s="83"/>
      <c r="J68" s="83"/>
      <c r="K68" s="83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7.25" customHeight="1">
      <c r="A69" s="44"/>
      <c r="B69" s="45"/>
      <c r="C69" s="50"/>
      <c r="D69" s="84" t="str">
        <f>IF(E16="","Produit/Service 1",E16)</f>
        <v>Produit 1</v>
      </c>
      <c r="E69" s="61"/>
      <c r="F69" s="50"/>
      <c r="G69" s="85"/>
      <c r="H69" s="85"/>
      <c r="I69" s="85"/>
      <c r="J69" s="85"/>
      <c r="K69" s="85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7.25" customHeight="1">
      <c r="A70" s="44"/>
      <c r="B70" s="45"/>
      <c r="C70" s="50"/>
      <c r="D70" s="68" t="str">
        <f t="shared" ref="D70:D71" si="4">D48</f>
        <v>Quantité/Jour</v>
      </c>
      <c r="E70" s="76" t="s">
        <v>106</v>
      </c>
      <c r="F70" s="50"/>
      <c r="G70" s="91"/>
      <c r="H70" s="70">
        <v>0.03</v>
      </c>
      <c r="I70" s="70">
        <v>0.03</v>
      </c>
      <c r="J70" s="70">
        <v>0.03</v>
      </c>
      <c r="K70" s="70">
        <v>0.03</v>
      </c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7.25" customHeight="1">
      <c r="A71" s="44"/>
      <c r="B71" s="45"/>
      <c r="C71" s="50"/>
      <c r="D71" s="68" t="str">
        <f t="shared" si="4"/>
        <v>Prix</v>
      </c>
      <c r="E71" s="76" t="s">
        <v>106</v>
      </c>
      <c r="F71" s="50"/>
      <c r="G71" s="91"/>
      <c r="H71" s="70">
        <v>0</v>
      </c>
      <c r="I71" s="70">
        <v>0</v>
      </c>
      <c r="J71" s="70">
        <v>0</v>
      </c>
      <c r="K71" s="70">
        <v>0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7.25" customHeight="1">
      <c r="A72" s="44"/>
      <c r="B72" s="45"/>
      <c r="C72" s="50"/>
      <c r="D72" s="84" t="str">
        <f>IF(E17="","Produit/Service 2",E17)</f>
        <v>Produit 2</v>
      </c>
      <c r="E72" s="61"/>
      <c r="F72" s="50"/>
      <c r="G72" s="73"/>
      <c r="H72" s="73"/>
      <c r="I72" s="73"/>
      <c r="J72" s="73"/>
      <c r="K72" s="73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7.25" customHeight="1">
      <c r="A73" s="44"/>
      <c r="B73" s="45"/>
      <c r="C73" s="50"/>
      <c r="D73" s="68" t="str">
        <f t="shared" ref="D73:D74" si="5">D51</f>
        <v>Quantité vendue/Jour</v>
      </c>
      <c r="E73" s="76" t="s">
        <v>106</v>
      </c>
      <c r="F73" s="50"/>
      <c r="G73" s="91"/>
      <c r="H73" s="70">
        <v>0.15</v>
      </c>
      <c r="I73" s="70">
        <v>0.15</v>
      </c>
      <c r="J73" s="70">
        <v>0.15</v>
      </c>
      <c r="K73" s="70">
        <v>0.15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7.25" customHeight="1">
      <c r="A74" s="44"/>
      <c r="B74" s="45"/>
      <c r="C74" s="50"/>
      <c r="D74" s="68" t="str">
        <f t="shared" si="5"/>
        <v>Prix</v>
      </c>
      <c r="E74" s="76" t="s">
        <v>106</v>
      </c>
      <c r="F74" s="50"/>
      <c r="G74" s="91"/>
      <c r="H74" s="70">
        <v>0</v>
      </c>
      <c r="I74" s="70">
        <v>0</v>
      </c>
      <c r="J74" s="70">
        <v>0</v>
      </c>
      <c r="K74" s="70">
        <v>0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7.25" customHeight="1">
      <c r="A75" s="44"/>
      <c r="B75" s="45"/>
      <c r="C75" s="50"/>
      <c r="D75" s="84" t="str">
        <f>IF(E18="","Produit/Service 3",E18)</f>
        <v>Produit 3</v>
      </c>
      <c r="E75" s="61"/>
      <c r="F75" s="50"/>
      <c r="G75" s="73"/>
      <c r="H75" s="73"/>
      <c r="I75" s="73"/>
      <c r="J75" s="73"/>
      <c r="K75" s="73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7.25" customHeight="1">
      <c r="A76" s="44"/>
      <c r="B76" s="45"/>
      <c r="C76" s="50"/>
      <c r="D76" s="68" t="str">
        <f t="shared" ref="D76:D77" si="6">D54</f>
        <v>Quantité vendue/Jour</v>
      </c>
      <c r="E76" s="76" t="s">
        <v>106</v>
      </c>
      <c r="F76" s="50"/>
      <c r="G76" s="91"/>
      <c r="H76" s="70">
        <v>0.1</v>
      </c>
      <c r="I76" s="70">
        <v>0.1</v>
      </c>
      <c r="J76" s="70">
        <v>0.1</v>
      </c>
      <c r="K76" s="70">
        <v>0.1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7.25" customHeight="1">
      <c r="A77" s="44"/>
      <c r="B77" s="45"/>
      <c r="C77" s="50"/>
      <c r="D77" s="68" t="str">
        <f t="shared" si="6"/>
        <v>Prix</v>
      </c>
      <c r="E77" s="76" t="s">
        <v>106</v>
      </c>
      <c r="F77" s="50"/>
      <c r="G77" s="91"/>
      <c r="H77" s="70">
        <v>0</v>
      </c>
      <c r="I77" s="70">
        <v>0</v>
      </c>
      <c r="J77" s="70">
        <v>0</v>
      </c>
      <c r="K77" s="70">
        <v>0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7.25" customHeight="1">
      <c r="A78" s="44"/>
      <c r="B78" s="45"/>
      <c r="C78" s="50"/>
      <c r="D78" s="84" t="str">
        <f>IF(E23="","Produit/Service 3",E19)</f>
        <v>Produit 4</v>
      </c>
      <c r="E78" s="61"/>
      <c r="F78" s="50"/>
      <c r="G78" s="73"/>
      <c r="H78" s="73"/>
      <c r="I78" s="73"/>
      <c r="J78" s="73"/>
      <c r="K78" s="73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7.25" customHeight="1">
      <c r="A79" s="44"/>
      <c r="B79" s="45"/>
      <c r="C79" s="50"/>
      <c r="D79" s="68" t="str">
        <f t="shared" ref="D79:D80" si="7">D57</f>
        <v>Quantité vendue/Jour</v>
      </c>
      <c r="E79" s="76" t="s">
        <v>106</v>
      </c>
      <c r="F79" s="50"/>
      <c r="G79" s="91"/>
      <c r="H79" s="70">
        <v>0.2</v>
      </c>
      <c r="I79" s="70">
        <v>0.2</v>
      </c>
      <c r="J79" s="70">
        <v>0.2</v>
      </c>
      <c r="K79" s="70">
        <v>0.2</v>
      </c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7.25" customHeight="1">
      <c r="A80" s="44"/>
      <c r="B80" s="45"/>
      <c r="C80" s="50"/>
      <c r="D80" s="68" t="str">
        <f t="shared" si="7"/>
        <v>Prix</v>
      </c>
      <c r="E80" s="76" t="s">
        <v>106</v>
      </c>
      <c r="F80" s="50"/>
      <c r="G80" s="91"/>
      <c r="H80" s="70">
        <v>0</v>
      </c>
      <c r="I80" s="70">
        <v>0</v>
      </c>
      <c r="J80" s="70">
        <v>0</v>
      </c>
      <c r="K80" s="70">
        <v>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7.25" customHeight="1">
      <c r="A81" s="44"/>
      <c r="B81" s="45"/>
      <c r="C81" s="50"/>
      <c r="D81" s="84" t="str">
        <f>IF(E35="","Produit/Service 3",E20)</f>
        <v>Produit 5</v>
      </c>
      <c r="E81" s="61"/>
      <c r="F81" s="50"/>
      <c r="G81" s="73"/>
      <c r="H81" s="73"/>
      <c r="I81" s="73"/>
      <c r="J81" s="73"/>
      <c r="K81" s="73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7.25" customHeight="1">
      <c r="A82" s="44"/>
      <c r="B82" s="45"/>
      <c r="C82" s="50"/>
      <c r="D82" s="68" t="str">
        <f t="shared" ref="D82:D83" si="8">D60</f>
        <v>Quantité vendue/Jour</v>
      </c>
      <c r="E82" s="76" t="s">
        <v>106</v>
      </c>
      <c r="F82" s="50"/>
      <c r="G82" s="91"/>
      <c r="H82" s="70">
        <v>0.2</v>
      </c>
      <c r="I82" s="70">
        <v>0.2</v>
      </c>
      <c r="J82" s="70">
        <v>0.2</v>
      </c>
      <c r="K82" s="70">
        <v>0.2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7.25" customHeight="1">
      <c r="A83" s="44"/>
      <c r="B83" s="45"/>
      <c r="C83" s="50"/>
      <c r="D83" s="68" t="str">
        <f t="shared" si="8"/>
        <v>Prix</v>
      </c>
      <c r="E83" s="76" t="s">
        <v>106</v>
      </c>
      <c r="F83" s="50"/>
      <c r="G83" s="91"/>
      <c r="H83" s="70">
        <v>0</v>
      </c>
      <c r="I83" s="70">
        <v>0</v>
      </c>
      <c r="J83" s="70">
        <v>0</v>
      </c>
      <c r="K83" s="70">
        <v>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7.25" customHeight="1">
      <c r="A84" s="44"/>
      <c r="B84" s="45"/>
      <c r="C84" s="50"/>
      <c r="D84" s="81" t="s">
        <v>142</v>
      </c>
      <c r="E84" s="82"/>
      <c r="F84" s="83"/>
      <c r="G84" s="83"/>
      <c r="H84" s="83"/>
      <c r="I84" s="83"/>
      <c r="J84" s="83"/>
      <c r="K84" s="83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7.25" customHeight="1">
      <c r="A85" s="44"/>
      <c r="B85" s="45"/>
      <c r="C85" s="50"/>
      <c r="D85" s="86" t="s">
        <v>143</v>
      </c>
      <c r="E85" s="76" t="s">
        <v>106</v>
      </c>
      <c r="F85" s="50"/>
      <c r="G85" s="91"/>
      <c r="H85" s="70">
        <v>0</v>
      </c>
      <c r="I85" s="70">
        <v>0</v>
      </c>
      <c r="J85" s="70">
        <v>0</v>
      </c>
      <c r="K85" s="70">
        <v>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7.25" customHeight="1">
      <c r="A86" s="44"/>
      <c r="B86" s="45"/>
      <c r="C86" s="50"/>
      <c r="D86" s="86" t="s">
        <v>144</v>
      </c>
      <c r="E86" s="76" t="s">
        <v>106</v>
      </c>
      <c r="F86" s="50"/>
      <c r="G86" s="91"/>
      <c r="H86" s="70">
        <v>0.03</v>
      </c>
      <c r="I86" s="70">
        <v>0.03</v>
      </c>
      <c r="J86" s="70">
        <v>0.03</v>
      </c>
      <c r="K86" s="70">
        <v>0.03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7.25" customHeight="1">
      <c r="A87" s="44"/>
      <c r="B87" s="45"/>
      <c r="C87" s="50"/>
      <c r="D87" s="86" t="s">
        <v>145</v>
      </c>
      <c r="E87" s="76" t="s">
        <v>106</v>
      </c>
      <c r="F87" s="50"/>
      <c r="G87" s="91"/>
      <c r="H87" s="91"/>
      <c r="I87" s="91"/>
      <c r="J87" s="91"/>
      <c r="K87" s="9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7.25" customHeight="1">
      <c r="A88" s="44"/>
      <c r="B88" s="45"/>
      <c r="C88" s="50"/>
      <c r="D88" s="92" t="str">
        <f t="shared" ref="D88:D92" si="9">J16</f>
        <v>Matière A</v>
      </c>
      <c r="E88" s="76" t="s">
        <v>106</v>
      </c>
      <c r="F88" s="50"/>
      <c r="G88" s="91"/>
      <c r="H88" s="70">
        <v>0.03</v>
      </c>
      <c r="I88" s="70">
        <v>0.03</v>
      </c>
      <c r="J88" s="70">
        <v>0.03</v>
      </c>
      <c r="K88" s="70">
        <v>0.03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7.25" customHeight="1">
      <c r="A89" s="44"/>
      <c r="B89" s="45"/>
      <c r="C89" s="50"/>
      <c r="D89" s="92" t="str">
        <f t="shared" si="9"/>
        <v>Matière B</v>
      </c>
      <c r="E89" s="76" t="s">
        <v>106</v>
      </c>
      <c r="F89" s="50"/>
      <c r="G89" s="91"/>
      <c r="H89" s="70">
        <v>0</v>
      </c>
      <c r="I89" s="70">
        <v>0</v>
      </c>
      <c r="J89" s="70">
        <v>0</v>
      </c>
      <c r="K89" s="70">
        <v>0</v>
      </c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7.25" customHeight="1">
      <c r="A90" s="44"/>
      <c r="B90" s="45"/>
      <c r="C90" s="50"/>
      <c r="D90" s="92" t="str">
        <f t="shared" si="9"/>
        <v>Matière C</v>
      </c>
      <c r="E90" s="76" t="s">
        <v>106</v>
      </c>
      <c r="F90" s="50"/>
      <c r="G90" s="91"/>
      <c r="H90" s="70">
        <v>0</v>
      </c>
      <c r="I90" s="70">
        <v>0</v>
      </c>
      <c r="J90" s="70">
        <v>0</v>
      </c>
      <c r="K90" s="70">
        <v>0</v>
      </c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7.25" customHeight="1">
      <c r="A91" s="44"/>
      <c r="B91" s="45"/>
      <c r="C91" s="50"/>
      <c r="D91" s="92" t="str">
        <f t="shared" si="9"/>
        <v>Matière D</v>
      </c>
      <c r="E91" s="76" t="s">
        <v>106</v>
      </c>
      <c r="F91" s="50"/>
      <c r="G91" s="91"/>
      <c r="H91" s="70">
        <v>0</v>
      </c>
      <c r="I91" s="70">
        <v>0</v>
      </c>
      <c r="J91" s="70">
        <v>0</v>
      </c>
      <c r="K91" s="70">
        <v>0</v>
      </c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7.25" customHeight="1">
      <c r="A92" s="44"/>
      <c r="B92" s="45"/>
      <c r="C92" s="50"/>
      <c r="D92" s="92" t="str">
        <f t="shared" si="9"/>
        <v>Matière E</v>
      </c>
      <c r="E92" s="76" t="s">
        <v>106</v>
      </c>
      <c r="F92" s="50"/>
      <c r="G92" s="91"/>
      <c r="H92" s="70">
        <v>0</v>
      </c>
      <c r="I92" s="70">
        <v>0</v>
      </c>
      <c r="J92" s="70">
        <v>0</v>
      </c>
      <c r="K92" s="70">
        <v>0</v>
      </c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7.25" customHeight="1">
      <c r="A93" s="44"/>
      <c r="B93" s="45"/>
      <c r="C93" s="50"/>
      <c r="D93" s="86" t="s">
        <v>146</v>
      </c>
      <c r="E93" s="76" t="s">
        <v>106</v>
      </c>
      <c r="F93" s="50"/>
      <c r="G93" s="91"/>
      <c r="H93" s="91"/>
      <c r="I93" s="91"/>
      <c r="J93" s="91"/>
      <c r="K93" s="9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7.25" customHeight="1">
      <c r="A94" s="44"/>
      <c r="B94" s="45"/>
      <c r="C94" s="50"/>
      <c r="D94" s="92" t="s">
        <v>147</v>
      </c>
      <c r="E94" s="76" t="s">
        <v>106</v>
      </c>
      <c r="F94" s="50"/>
      <c r="G94" s="91"/>
      <c r="H94" s="70">
        <v>0.03</v>
      </c>
      <c r="I94" s="70">
        <v>0.03</v>
      </c>
      <c r="J94" s="70">
        <v>0.03</v>
      </c>
      <c r="K94" s="70">
        <v>0.03</v>
      </c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7.25" customHeight="1">
      <c r="A95" s="44"/>
      <c r="B95" s="45"/>
      <c r="C95" s="50"/>
      <c r="D95" s="92" t="s">
        <v>148</v>
      </c>
      <c r="E95" s="76" t="s">
        <v>106</v>
      </c>
      <c r="F95" s="50"/>
      <c r="G95" s="91"/>
      <c r="H95" s="70">
        <v>0.03</v>
      </c>
      <c r="I95" s="70">
        <v>0.03</v>
      </c>
      <c r="J95" s="70">
        <v>0.03</v>
      </c>
      <c r="K95" s="70">
        <v>0.03</v>
      </c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7.25" customHeight="1">
      <c r="A96" s="44"/>
      <c r="B96" s="45"/>
      <c r="C96" s="50"/>
      <c r="D96" s="92" t="s">
        <v>149</v>
      </c>
      <c r="E96" s="76" t="s">
        <v>106</v>
      </c>
      <c r="F96" s="50"/>
      <c r="G96" s="91"/>
      <c r="H96" s="70">
        <v>0.03</v>
      </c>
      <c r="I96" s="70">
        <v>0.03</v>
      </c>
      <c r="J96" s="70">
        <v>0.03</v>
      </c>
      <c r="K96" s="70">
        <v>0.03</v>
      </c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7.25" customHeight="1">
      <c r="A97" s="44"/>
      <c r="B97" s="45"/>
      <c r="C97" s="50"/>
      <c r="D97" s="92" t="s">
        <v>150</v>
      </c>
      <c r="E97" s="76" t="s">
        <v>106</v>
      </c>
      <c r="F97" s="50"/>
      <c r="G97" s="91"/>
      <c r="H97" s="70">
        <v>0.03</v>
      </c>
      <c r="I97" s="70">
        <v>0.03</v>
      </c>
      <c r="J97" s="70">
        <v>0.03</v>
      </c>
      <c r="K97" s="70">
        <v>0.03</v>
      </c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7.25" customHeight="1">
      <c r="A98" s="44"/>
      <c r="B98" s="45"/>
      <c r="C98" s="50"/>
      <c r="D98" s="92" t="s">
        <v>151</v>
      </c>
      <c r="E98" s="76" t="s">
        <v>106</v>
      </c>
      <c r="F98" s="50"/>
      <c r="G98" s="91"/>
      <c r="H98" s="70">
        <v>0.03</v>
      </c>
      <c r="I98" s="70">
        <v>0.03</v>
      </c>
      <c r="J98" s="70">
        <v>0.03</v>
      </c>
      <c r="K98" s="70">
        <v>0.03</v>
      </c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7.25" customHeight="1">
      <c r="A99" s="44"/>
      <c r="B99" s="45"/>
      <c r="C99" s="50"/>
      <c r="D99" s="92" t="s">
        <v>152</v>
      </c>
      <c r="E99" s="76" t="s">
        <v>106</v>
      </c>
      <c r="F99" s="50"/>
      <c r="G99" s="91"/>
      <c r="H99" s="70">
        <v>0.02</v>
      </c>
      <c r="I99" s="70">
        <v>0.02</v>
      </c>
      <c r="J99" s="70">
        <v>0.02</v>
      </c>
      <c r="K99" s="70">
        <v>0.02</v>
      </c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7.25" customHeight="1">
      <c r="A100" s="44"/>
      <c r="B100" s="45"/>
      <c r="C100" s="50"/>
      <c r="D100" s="92" t="s">
        <v>153</v>
      </c>
      <c r="E100" s="76" t="s">
        <v>106</v>
      </c>
      <c r="F100" s="50"/>
      <c r="G100" s="91"/>
      <c r="H100" s="70">
        <v>0.01</v>
      </c>
      <c r="I100" s="70">
        <v>0.01</v>
      </c>
      <c r="J100" s="70">
        <v>0.01</v>
      </c>
      <c r="K100" s="70">
        <v>0.01</v>
      </c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7.25" customHeight="1">
      <c r="A101" s="44"/>
      <c r="B101" s="45"/>
      <c r="C101" s="50"/>
      <c r="D101" s="92" t="s">
        <v>154</v>
      </c>
      <c r="E101" s="76" t="s">
        <v>106</v>
      </c>
      <c r="F101" s="50"/>
      <c r="G101" s="91"/>
      <c r="H101" s="70">
        <v>0.01</v>
      </c>
      <c r="I101" s="70">
        <v>0.01</v>
      </c>
      <c r="J101" s="70">
        <v>0.01</v>
      </c>
      <c r="K101" s="70">
        <v>0.01</v>
      </c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7.25" customHeight="1">
      <c r="A102" s="44"/>
      <c r="B102" s="45"/>
      <c r="C102" s="50"/>
      <c r="D102" s="92" t="s">
        <v>155</v>
      </c>
      <c r="E102" s="76" t="s">
        <v>106</v>
      </c>
      <c r="F102" s="50"/>
      <c r="G102" s="91"/>
      <c r="H102" s="70">
        <v>0</v>
      </c>
      <c r="I102" s="70">
        <v>0</v>
      </c>
      <c r="J102" s="70">
        <v>0</v>
      </c>
      <c r="K102" s="70">
        <v>0</v>
      </c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7.25" customHeight="1">
      <c r="A103" s="44"/>
      <c r="B103" s="45"/>
      <c r="C103" s="50"/>
      <c r="D103" s="86" t="s">
        <v>156</v>
      </c>
      <c r="E103" s="76" t="s">
        <v>106</v>
      </c>
      <c r="F103" s="50"/>
      <c r="G103" s="91"/>
      <c r="H103" s="70">
        <v>0.03</v>
      </c>
      <c r="I103" s="70">
        <v>0.03</v>
      </c>
      <c r="J103" s="70">
        <v>0.03</v>
      </c>
      <c r="K103" s="70">
        <v>0.03</v>
      </c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7.25" customHeight="1">
      <c r="A104" s="44"/>
      <c r="B104" s="45"/>
      <c r="C104" s="50"/>
      <c r="D104" s="86" t="s">
        <v>157</v>
      </c>
      <c r="E104" s="76" t="s">
        <v>106</v>
      </c>
      <c r="F104" s="50"/>
      <c r="G104" s="91"/>
      <c r="H104" s="70">
        <v>0.03</v>
      </c>
      <c r="I104" s="70">
        <v>0.03</v>
      </c>
      <c r="J104" s="70">
        <v>0.03</v>
      </c>
      <c r="K104" s="70">
        <v>0.03</v>
      </c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7.25" customHeight="1">
      <c r="A105" s="44"/>
      <c r="B105" s="45"/>
      <c r="C105" s="50"/>
      <c r="D105" s="86" t="s">
        <v>158</v>
      </c>
      <c r="E105" s="76" t="s">
        <v>106</v>
      </c>
      <c r="F105" s="50"/>
      <c r="G105" s="91"/>
      <c r="H105" s="70">
        <v>0</v>
      </c>
      <c r="I105" s="70">
        <v>0</v>
      </c>
      <c r="J105" s="70">
        <v>0</v>
      </c>
      <c r="K105" s="70">
        <v>0</v>
      </c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7.25" customHeight="1">
      <c r="A106" s="44"/>
      <c r="B106" s="45"/>
      <c r="C106" s="50"/>
      <c r="D106" s="86" t="s">
        <v>159</v>
      </c>
      <c r="E106" s="76" t="s">
        <v>106</v>
      </c>
      <c r="F106" s="50"/>
      <c r="G106" s="91"/>
      <c r="H106" s="70">
        <v>0.02</v>
      </c>
      <c r="I106" s="70">
        <v>0.02</v>
      </c>
      <c r="J106" s="70">
        <v>0.02</v>
      </c>
      <c r="K106" s="70">
        <v>0.02</v>
      </c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7.25" customHeight="1">
      <c r="A107" s="44"/>
      <c r="B107" s="45"/>
      <c r="C107" s="50"/>
      <c r="D107" s="86" t="s">
        <v>160</v>
      </c>
      <c r="E107" s="76" t="s">
        <v>106</v>
      </c>
      <c r="F107" s="50"/>
      <c r="G107" s="91"/>
      <c r="H107" s="70">
        <v>0.02</v>
      </c>
      <c r="I107" s="70">
        <v>0.02</v>
      </c>
      <c r="J107" s="70">
        <v>0.02</v>
      </c>
      <c r="K107" s="70">
        <v>0.02</v>
      </c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7.25" customHeight="1">
      <c r="A108" s="44"/>
      <c r="B108" s="45"/>
      <c r="C108" s="50"/>
      <c r="D108" s="93"/>
      <c r="E108" s="61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7.25" customHeight="1">
      <c r="A109" s="44"/>
      <c r="B109" s="45"/>
      <c r="C109" s="50"/>
      <c r="D109" s="50"/>
      <c r="E109" s="61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7.25" customHeight="1">
      <c r="A110" s="44"/>
      <c r="B110" s="45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" customHeight="1">
      <c r="A111" s="44"/>
      <c r="B111" s="45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" customHeight="1">
      <c r="A112" s="44"/>
      <c r="B112" s="45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" customHeight="1">
      <c r="A113" s="44"/>
      <c r="B113" s="45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" customHeight="1">
      <c r="A114" s="44"/>
      <c r="B114" s="45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" customHeight="1">
      <c r="A115" s="44"/>
      <c r="B115" s="45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" customHeight="1">
      <c r="A116" s="44"/>
      <c r="B116" s="45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" customHeight="1">
      <c r="A117" s="44"/>
      <c r="B117" s="45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" customHeight="1">
      <c r="A118" s="44"/>
      <c r="B118" s="45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" customHeight="1">
      <c r="A119" s="44"/>
      <c r="B119" s="45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" customHeight="1">
      <c r="A120" s="44"/>
      <c r="B120" s="45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" customHeight="1">
      <c r="A121" s="44"/>
      <c r="B121" s="45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" customHeight="1">
      <c r="A122" s="44"/>
      <c r="B122" s="45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" customHeight="1">
      <c r="A123" s="44"/>
      <c r="B123" s="45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" customHeight="1">
      <c r="A124" s="44"/>
      <c r="B124" s="45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" customHeight="1">
      <c r="A125" s="44"/>
      <c r="B125" s="45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" customHeight="1">
      <c r="A126" s="44"/>
      <c r="B126" s="45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" customHeight="1">
      <c r="A127" s="44"/>
      <c r="B127" s="45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" customHeight="1">
      <c r="A128" s="44"/>
      <c r="B128" s="45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" customHeight="1">
      <c r="A129" s="44"/>
      <c r="B129" s="45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" customHeight="1">
      <c r="A130" s="44"/>
      <c r="B130" s="45"/>
      <c r="C130" s="50"/>
      <c r="D130" s="50"/>
      <c r="E130" s="61"/>
      <c r="F130" s="85"/>
      <c r="G130" s="85"/>
      <c r="H130" s="85"/>
      <c r="I130" s="85"/>
      <c r="J130" s="85"/>
      <c r="K130" s="85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7.25" customHeight="1">
      <c r="A131" s="44"/>
      <c r="B131" s="45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" customHeight="1">
      <c r="A132" s="44"/>
      <c r="B132" s="45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" customHeight="1">
      <c r="A133" s="44"/>
      <c r="B133" s="45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" customHeight="1">
      <c r="A134" s="44"/>
      <c r="B134" s="45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" customHeight="1">
      <c r="A135" s="44"/>
      <c r="B135" s="45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" customHeight="1">
      <c r="A136" s="44"/>
      <c r="B136" s="45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" customHeight="1">
      <c r="A137" s="44"/>
      <c r="B137" s="4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" customHeight="1">
      <c r="A138" s="44"/>
      <c r="B138" s="45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" customHeight="1">
      <c r="A139" s="44"/>
      <c r="B139" s="45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" customHeight="1">
      <c r="A140" s="44"/>
      <c r="B140" s="45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" customHeight="1">
      <c r="A141" s="44"/>
      <c r="B141" s="45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" customHeight="1">
      <c r="A142" s="44"/>
      <c r="B142" s="45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3"/>
      <c r="B143" s="3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3"/>
      <c r="B144" s="3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3"/>
      <c r="B145" s="3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3"/>
      <c r="B146" s="3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3"/>
      <c r="B147" s="3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3"/>
      <c r="B148" s="3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3"/>
      <c r="B149" s="3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3"/>
      <c r="B150" s="3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3"/>
      <c r="B151" s="3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3"/>
      <c r="B152" s="3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3"/>
      <c r="B153" s="3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3"/>
      <c r="B154" s="3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3"/>
      <c r="B155" s="3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3"/>
      <c r="B156" s="3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3"/>
      <c r="B157" s="3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3"/>
      <c r="B158" s="3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3"/>
      <c r="B159" s="3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3"/>
      <c r="B160" s="3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3"/>
      <c r="B161" s="3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" customHeight="1">
      <c r="A162" s="3"/>
      <c r="B162" s="3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3"/>
      <c r="B163" s="3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3"/>
      <c r="B164" s="3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3"/>
      <c r="B165" s="3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3"/>
      <c r="B166" s="3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3"/>
      <c r="B167" s="3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3"/>
      <c r="B168" s="3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3"/>
      <c r="B169" s="3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3"/>
      <c r="B170" s="3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3"/>
      <c r="B171" s="3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3"/>
      <c r="B172" s="3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3"/>
      <c r="B173" s="3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3"/>
      <c r="B174" s="3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3"/>
      <c r="B175" s="3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3"/>
      <c r="B176" s="3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3"/>
      <c r="B177" s="3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3"/>
      <c r="B178" s="3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3"/>
      <c r="B179" s="3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3"/>
      <c r="B180" s="3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3"/>
      <c r="B181" s="3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3"/>
      <c r="B182" s="3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3"/>
      <c r="B183" s="3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3"/>
      <c r="B184" s="3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3"/>
      <c r="B185" s="3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3"/>
      <c r="B186" s="3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3"/>
      <c r="B187" s="3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3"/>
      <c r="B188" s="3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3"/>
      <c r="B189" s="3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3"/>
      <c r="B190" s="3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3"/>
      <c r="B191" s="3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3"/>
      <c r="B192" s="3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3"/>
      <c r="B193" s="3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3"/>
      <c r="B194" s="3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3"/>
      <c r="B195" s="3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3"/>
      <c r="B196" s="3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3"/>
      <c r="B197" s="3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3"/>
      <c r="B198" s="3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3"/>
      <c r="B199" s="3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3"/>
      <c r="B200" s="3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3"/>
      <c r="B201" s="3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3"/>
      <c r="B202" s="3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3"/>
      <c r="B203" s="3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3"/>
      <c r="B204" s="3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3"/>
      <c r="B205" s="3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3"/>
      <c r="B206" s="3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3"/>
      <c r="B207" s="3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3"/>
      <c r="B208" s="3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3"/>
      <c r="B209" s="3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3"/>
      <c r="B210" s="3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3"/>
      <c r="B211" s="3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3"/>
      <c r="B212" s="3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3"/>
      <c r="B213" s="3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3"/>
      <c r="B214" s="3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3"/>
      <c r="B215" s="3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3"/>
      <c r="B216" s="3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3"/>
      <c r="B217" s="3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3"/>
      <c r="B218" s="3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" customHeight="1">
      <c r="A219" s="3"/>
      <c r="B219" s="3"/>
      <c r="C219" s="50"/>
      <c r="D219" s="50"/>
      <c r="E219" s="50"/>
      <c r="F219" s="94"/>
      <c r="G219" s="61"/>
      <c r="H219" s="94"/>
      <c r="I219" s="94"/>
      <c r="J219" s="94"/>
      <c r="K219" s="94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3"/>
      <c r="B220" s="3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3"/>
      <c r="B221" s="3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3"/>
      <c r="B222" s="3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3"/>
      <c r="B223" s="3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3"/>
      <c r="B224" s="3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3"/>
      <c r="B225" s="3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3"/>
      <c r="B226" s="3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3"/>
      <c r="B227" s="3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3"/>
      <c r="B228" s="3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3"/>
      <c r="B229" s="3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3"/>
      <c r="B230" s="3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3"/>
      <c r="B231" s="3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3"/>
      <c r="B232" s="3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3"/>
      <c r="B233" s="3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3"/>
      <c r="B234" s="3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3"/>
      <c r="B235" s="3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3"/>
      <c r="B236" s="3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3"/>
      <c r="B237" s="3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3"/>
      <c r="B238" s="3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3"/>
      <c r="B239" s="3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3"/>
      <c r="B240" s="3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3"/>
      <c r="B241" s="3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3"/>
      <c r="B242" s="3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3"/>
      <c r="B243" s="3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3"/>
      <c r="B244" s="3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3"/>
      <c r="B245" s="3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3"/>
      <c r="B246" s="3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3"/>
      <c r="B247" s="3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3"/>
      <c r="B248" s="3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3"/>
      <c r="B249" s="3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3"/>
      <c r="B250" s="3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3"/>
      <c r="B251" s="3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3"/>
      <c r="B252" s="3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3"/>
      <c r="B253" s="3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3"/>
      <c r="B254" s="3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3"/>
      <c r="B255" s="3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3"/>
      <c r="B256" s="3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3"/>
      <c r="B257" s="3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3"/>
      <c r="B258" s="3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3"/>
      <c r="B259" s="3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3"/>
      <c r="B260" s="3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3"/>
      <c r="B261" s="3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3"/>
      <c r="B262" s="3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3"/>
      <c r="B263" s="3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3"/>
      <c r="B264" s="3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3"/>
      <c r="B265" s="3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3"/>
      <c r="B266" s="3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3"/>
      <c r="B267" s="3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3"/>
      <c r="B268" s="3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3"/>
      <c r="B269" s="3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3"/>
      <c r="B270" s="3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3"/>
      <c r="B271" s="3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3"/>
      <c r="B272" s="3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3"/>
      <c r="B273" s="3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3"/>
      <c r="B274" s="3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3"/>
      <c r="B275" s="3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3"/>
      <c r="B276" s="3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3"/>
      <c r="B277" s="3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3"/>
      <c r="B278" s="3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3"/>
      <c r="B279" s="3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3"/>
      <c r="B280" s="3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3"/>
      <c r="B281" s="3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3"/>
      <c r="B282" s="3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3"/>
      <c r="B283" s="3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3"/>
      <c r="B284" s="3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3"/>
      <c r="B285" s="3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3"/>
      <c r="B286" s="3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3"/>
      <c r="B287" s="3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3"/>
      <c r="B288" s="3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3"/>
      <c r="B289" s="3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3"/>
      <c r="B290" s="3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3"/>
      <c r="B291" s="3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3"/>
      <c r="B292" s="3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3"/>
      <c r="B293" s="3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3"/>
      <c r="B294" s="3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3"/>
      <c r="B295" s="3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3"/>
      <c r="B296" s="3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3"/>
      <c r="B297" s="3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3"/>
      <c r="B298" s="3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3"/>
      <c r="B299" s="3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3"/>
      <c r="B300" s="3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3"/>
      <c r="B301" s="3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3"/>
      <c r="B302" s="3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3"/>
      <c r="B303" s="3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" customHeight="1">
      <c r="A304" s="3"/>
      <c r="B304" s="3"/>
      <c r="C304" s="50"/>
      <c r="D304" s="50"/>
      <c r="E304" s="61"/>
      <c r="F304" s="94"/>
      <c r="G304" s="94"/>
      <c r="H304" s="94"/>
      <c r="I304" s="94"/>
      <c r="J304" s="94"/>
      <c r="K304" s="94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3"/>
      <c r="B305" s="3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3"/>
      <c r="B306" s="3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3"/>
      <c r="B307" s="3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/>
    <row r="309" spans="1:26" ht="15.75" customHeight="1"/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3">
    <mergeCell ref="D2:G4"/>
    <mergeCell ref="H2:K2"/>
    <mergeCell ref="H3:K3"/>
    <mergeCell ref="E16:G16"/>
    <mergeCell ref="J16:L16"/>
    <mergeCell ref="J17:L17"/>
    <mergeCell ref="J18:L18"/>
    <mergeCell ref="E19:G19"/>
    <mergeCell ref="J19:L19"/>
    <mergeCell ref="E20:G20"/>
    <mergeCell ref="J20:L20"/>
    <mergeCell ref="E17:G17"/>
    <mergeCell ref="E18:G18"/>
  </mergeCells>
  <dataValidations count="1">
    <dataValidation type="list" allowBlank="1" showErrorMessage="1" sqref="E11" xr:uid="{00000000-0002-0000-0200-000000000000}">
      <formula1>"Diourbel,Kaolack,Tamba,Kédougou,Ziguinchor,Kolda,Sédhiou,Saint-Louis,Louga,Matam,Kaffrine,Dakar,Fatick,Thies"</formula1>
    </dataValidation>
  </dataValidations>
  <hyperlinks>
    <hyperlink ref="D5" location="Sommaire!A1" display="Sommaire" xr:uid="{00000000-0004-0000-0200-000000000000}"/>
  </hyperlinks>
  <pageMargins left="0" right="0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F6000"/>
  </sheetPr>
  <dimension ref="A1:AM1016"/>
  <sheetViews>
    <sheetView workbookViewId="0"/>
  </sheetViews>
  <sheetFormatPr baseColWidth="10" defaultColWidth="14.453125" defaultRowHeight="15" customHeight="1"/>
  <cols>
    <col min="1" max="1" width="31.81640625" customWidth="1"/>
    <col min="2" max="2" width="27.81640625" customWidth="1"/>
    <col min="3" max="4" width="12.08984375" customWidth="1"/>
    <col min="5" max="5" width="36.81640625" customWidth="1"/>
    <col min="6" max="6" width="23.453125" customWidth="1"/>
    <col min="7" max="7" width="9" customWidth="1"/>
    <col min="8" max="8" width="22" customWidth="1"/>
    <col min="9" max="39" width="12.08984375" customWidth="1"/>
  </cols>
  <sheetData>
    <row r="1" spans="1:39" ht="12.75" customHeight="1"/>
    <row r="2" spans="1:39" ht="12.75" customHeight="1"/>
    <row r="3" spans="1:39" ht="12.75" customHeight="1">
      <c r="A3" s="373" t="s">
        <v>161</v>
      </c>
      <c r="B3" s="341"/>
      <c r="C3" s="341"/>
      <c r="E3" s="373" t="s">
        <v>162</v>
      </c>
      <c r="F3" s="341"/>
      <c r="G3" s="341"/>
      <c r="H3" s="341"/>
      <c r="I3" s="341"/>
      <c r="J3" s="341"/>
    </row>
    <row r="4" spans="1:39" ht="12.75" customHeight="1">
      <c r="A4" s="341"/>
      <c r="B4" s="341"/>
      <c r="C4" s="341"/>
      <c r="E4" s="341"/>
      <c r="F4" s="341"/>
      <c r="G4" s="341"/>
      <c r="H4" s="341"/>
      <c r="I4" s="341"/>
      <c r="J4" s="341"/>
    </row>
    <row r="5" spans="1:39" ht="12.7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39" ht="12.75" customHeight="1">
      <c r="A6" s="87" t="s">
        <v>163</v>
      </c>
      <c r="B6" s="87">
        <v>2021</v>
      </c>
      <c r="E6" s="96" t="s">
        <v>164</v>
      </c>
      <c r="F6" s="96" t="s">
        <v>165</v>
      </c>
      <c r="G6" s="96" t="s">
        <v>85</v>
      </c>
      <c r="H6" s="96" t="s">
        <v>166</v>
      </c>
    </row>
    <row r="7" spans="1:39" ht="12.75" customHeight="1">
      <c r="A7" s="87" t="s">
        <v>167</v>
      </c>
      <c r="B7" s="97">
        <v>0</v>
      </c>
      <c r="C7" s="98" t="s">
        <v>86</v>
      </c>
      <c r="D7" s="98"/>
      <c r="E7" s="87" t="s">
        <v>168</v>
      </c>
      <c r="F7" s="97">
        <v>2000000</v>
      </c>
      <c r="G7" s="87" t="s">
        <v>86</v>
      </c>
      <c r="H7" s="87">
        <f>F7*Hypotheses!F26</f>
        <v>24000000</v>
      </c>
    </row>
    <row r="8" spans="1:39" ht="12.75" customHeight="1">
      <c r="A8" s="87" t="s">
        <v>169</v>
      </c>
      <c r="B8" s="97">
        <v>0</v>
      </c>
      <c r="C8" s="98" t="s">
        <v>86</v>
      </c>
      <c r="D8" s="98"/>
      <c r="E8" s="87" t="s">
        <v>170</v>
      </c>
      <c r="F8" s="97">
        <v>0</v>
      </c>
      <c r="G8" s="87" t="s">
        <v>86</v>
      </c>
      <c r="H8" s="87">
        <f>F8*Hypotheses!F27</f>
        <v>0</v>
      </c>
    </row>
    <row r="9" spans="1:39" ht="12.75" customHeight="1">
      <c r="A9" s="87" t="s">
        <v>171</v>
      </c>
      <c r="B9" s="97">
        <v>0</v>
      </c>
      <c r="C9" s="98" t="s">
        <v>86</v>
      </c>
      <c r="D9" s="98"/>
      <c r="E9" s="87" t="s">
        <v>172</v>
      </c>
      <c r="F9" s="97">
        <v>0</v>
      </c>
      <c r="G9" s="87" t="s">
        <v>86</v>
      </c>
      <c r="H9" s="87">
        <f>F9*Hypotheses!F28</f>
        <v>0</v>
      </c>
    </row>
    <row r="10" spans="1:39" ht="12.75" customHeight="1">
      <c r="A10" s="87" t="s">
        <v>173</v>
      </c>
      <c r="B10" s="97">
        <v>0</v>
      </c>
      <c r="C10" s="98" t="s">
        <v>86</v>
      </c>
      <c r="D10" s="99"/>
      <c r="E10" s="87" t="s">
        <v>174</v>
      </c>
      <c r="F10" s="97">
        <v>0</v>
      </c>
      <c r="G10" s="87" t="s">
        <v>86</v>
      </c>
      <c r="H10" s="87">
        <f>F10*Hypotheses!F29</f>
        <v>0</v>
      </c>
      <c r="I10" s="99"/>
      <c r="K10" s="99"/>
    </row>
    <row r="11" spans="1:39" ht="12.75" customHeight="1">
      <c r="A11" s="87" t="s">
        <v>175</v>
      </c>
      <c r="B11" s="97">
        <v>0</v>
      </c>
      <c r="C11" s="98" t="s">
        <v>86</v>
      </c>
      <c r="E11" s="87" t="s">
        <v>176</v>
      </c>
      <c r="F11" s="97">
        <v>0</v>
      </c>
      <c r="G11" s="87" t="s">
        <v>86</v>
      </c>
      <c r="H11" s="87">
        <f>F11*Hypotheses!F30</f>
        <v>0</v>
      </c>
    </row>
    <row r="12" spans="1:39" ht="12.75" customHeight="1">
      <c r="A12" s="87" t="s">
        <v>177</v>
      </c>
      <c r="B12" s="97">
        <v>0</v>
      </c>
      <c r="C12" s="98" t="s">
        <v>86</v>
      </c>
      <c r="E12" s="87" t="s">
        <v>178</v>
      </c>
      <c r="F12" s="97">
        <v>0</v>
      </c>
      <c r="G12" s="87" t="s">
        <v>86</v>
      </c>
      <c r="H12" s="87">
        <f>F12*Hypotheses!F31</f>
        <v>0</v>
      </c>
    </row>
    <row r="13" spans="1:39" ht="12.75" customHeight="1">
      <c r="A13" s="87" t="s">
        <v>179</v>
      </c>
      <c r="B13" s="97">
        <v>0</v>
      </c>
      <c r="C13" s="98" t="s">
        <v>86</v>
      </c>
      <c r="E13" s="87" t="s">
        <v>180</v>
      </c>
      <c r="F13" s="97">
        <v>0</v>
      </c>
      <c r="G13" s="87" t="s">
        <v>86</v>
      </c>
      <c r="H13" s="87">
        <f>F13*Hypotheses!F32</f>
        <v>0</v>
      </c>
    </row>
    <row r="14" spans="1:39" ht="12.75" customHeight="1">
      <c r="A14" s="87" t="s">
        <v>181</v>
      </c>
      <c r="B14" s="97">
        <v>0</v>
      </c>
      <c r="C14" s="98" t="s">
        <v>86</v>
      </c>
      <c r="E14" s="87" t="s">
        <v>182</v>
      </c>
      <c r="F14" s="97">
        <v>0</v>
      </c>
      <c r="G14" s="87" t="s">
        <v>86</v>
      </c>
      <c r="H14" s="87">
        <f>F14*Hypotheses!F33</f>
        <v>0</v>
      </c>
    </row>
    <row r="15" spans="1:39" ht="12.75" customHeight="1">
      <c r="A15" s="87" t="s">
        <v>183</v>
      </c>
      <c r="B15" s="97">
        <v>0</v>
      </c>
      <c r="C15" s="98" t="s">
        <v>86</v>
      </c>
      <c r="E15" s="87" t="s">
        <v>184</v>
      </c>
      <c r="F15" s="97">
        <v>0</v>
      </c>
      <c r="G15" s="87" t="s">
        <v>86</v>
      </c>
      <c r="H15" s="87">
        <f>F15*Hypotheses!F34</f>
        <v>0</v>
      </c>
    </row>
    <row r="16" spans="1:39" ht="12.75" customHeight="1">
      <c r="A16" s="87" t="s">
        <v>185</v>
      </c>
      <c r="B16" s="97">
        <v>0</v>
      </c>
      <c r="C16" s="98" t="s">
        <v>86</v>
      </c>
      <c r="E16" s="87" t="s">
        <v>186</v>
      </c>
      <c r="F16" s="97">
        <v>0</v>
      </c>
      <c r="G16" s="87" t="s">
        <v>86</v>
      </c>
      <c r="H16" s="87">
        <f>F16*Hypotheses!F35</f>
        <v>0</v>
      </c>
    </row>
    <row r="17" spans="1:8" ht="12.75" customHeight="1">
      <c r="A17" s="87" t="s">
        <v>187</v>
      </c>
      <c r="B17" s="97">
        <v>0</v>
      </c>
      <c r="C17" s="98" t="s">
        <v>86</v>
      </c>
      <c r="E17" s="87" t="s">
        <v>188</v>
      </c>
      <c r="F17" s="97">
        <v>0</v>
      </c>
      <c r="G17" s="87" t="s">
        <v>86</v>
      </c>
      <c r="H17" s="87">
        <f>F17*Hypotheses!F36</f>
        <v>0</v>
      </c>
    </row>
    <row r="18" spans="1:8" ht="12.75" customHeight="1">
      <c r="A18" s="87" t="s">
        <v>189</v>
      </c>
      <c r="B18" s="97">
        <v>0</v>
      </c>
      <c r="C18" s="98" t="s">
        <v>86</v>
      </c>
      <c r="E18" s="87" t="s">
        <v>190</v>
      </c>
      <c r="F18" s="97">
        <v>0</v>
      </c>
      <c r="G18" s="87" t="s">
        <v>86</v>
      </c>
      <c r="H18" s="87">
        <f>F18*Hypotheses!F37</f>
        <v>0</v>
      </c>
    </row>
    <row r="19" spans="1:8" ht="27">
      <c r="A19" s="100"/>
      <c r="B19" s="101">
        <f>AVERAGE(B7:B18)</f>
        <v>0</v>
      </c>
      <c r="C19" s="98" t="s">
        <v>86</v>
      </c>
      <c r="G19" s="90"/>
      <c r="H19" s="102">
        <f>SUM(H7:H18)</f>
        <v>24000000</v>
      </c>
    </row>
    <row r="20" spans="1:8" ht="12.75" customHeight="1">
      <c r="A20" s="100"/>
      <c r="B20" s="100"/>
      <c r="C20" s="100"/>
      <c r="G20" s="90"/>
    </row>
    <row r="21" spans="1:8" ht="12.75" customHeight="1">
      <c r="A21" s="100"/>
      <c r="B21" s="100"/>
      <c r="C21" s="100"/>
      <c r="G21" s="90"/>
    </row>
    <row r="22" spans="1:8" ht="12.75" customHeight="1">
      <c r="A22" s="100"/>
      <c r="B22" s="100"/>
      <c r="C22" s="100"/>
      <c r="G22" s="90"/>
    </row>
    <row r="23" spans="1:8" ht="12.75" customHeight="1">
      <c r="A23" s="100"/>
      <c r="B23" s="100"/>
      <c r="C23" s="100"/>
      <c r="G23" s="90"/>
    </row>
    <row r="24" spans="1:8" ht="12.75" customHeight="1">
      <c r="A24" s="373" t="s">
        <v>191</v>
      </c>
      <c r="B24" s="341"/>
      <c r="C24" s="341"/>
      <c r="G24" s="90"/>
    </row>
    <row r="25" spans="1:8" ht="12.75" customHeight="1">
      <c r="A25" s="341"/>
      <c r="B25" s="341"/>
      <c r="C25" s="341"/>
    </row>
    <row r="26" spans="1:8" ht="12.75" customHeight="1"/>
    <row r="27" spans="1:8" ht="12.75" customHeight="1">
      <c r="A27" s="87" t="s">
        <v>163</v>
      </c>
      <c r="B27" s="87">
        <v>2021</v>
      </c>
    </row>
    <row r="28" spans="1:8" ht="12.75" customHeight="1">
      <c r="A28" s="87" t="s">
        <v>167</v>
      </c>
      <c r="B28" s="97">
        <v>0</v>
      </c>
      <c r="C28" s="98" t="s">
        <v>86</v>
      </c>
    </row>
    <row r="29" spans="1:8" ht="12.75" customHeight="1">
      <c r="A29" s="87" t="s">
        <v>169</v>
      </c>
      <c r="B29" s="97">
        <v>0</v>
      </c>
      <c r="C29" s="98" t="s">
        <v>86</v>
      </c>
    </row>
    <row r="30" spans="1:8" ht="12.75" customHeight="1">
      <c r="A30" s="87" t="s">
        <v>171</v>
      </c>
      <c r="B30" s="97">
        <v>0</v>
      </c>
      <c r="C30" s="98" t="s">
        <v>86</v>
      </c>
    </row>
    <row r="31" spans="1:8" ht="12.75" customHeight="1">
      <c r="A31" s="87" t="s">
        <v>173</v>
      </c>
      <c r="B31" s="97">
        <v>0</v>
      </c>
      <c r="C31" s="98" t="s">
        <v>86</v>
      </c>
    </row>
    <row r="32" spans="1:8" ht="12.75" customHeight="1">
      <c r="A32" s="87" t="s">
        <v>175</v>
      </c>
      <c r="B32" s="97">
        <v>0</v>
      </c>
      <c r="C32" s="98" t="s">
        <v>86</v>
      </c>
    </row>
    <row r="33" spans="1:7" ht="12.75" customHeight="1">
      <c r="A33" s="87" t="s">
        <v>177</v>
      </c>
      <c r="B33" s="97">
        <v>0</v>
      </c>
      <c r="C33" s="98" t="s">
        <v>86</v>
      </c>
    </row>
    <row r="34" spans="1:7" ht="12.75" customHeight="1">
      <c r="A34" s="87" t="s">
        <v>179</v>
      </c>
      <c r="B34" s="97">
        <v>0</v>
      </c>
      <c r="C34" s="98" t="s">
        <v>86</v>
      </c>
    </row>
    <row r="35" spans="1:7" ht="12.75" customHeight="1">
      <c r="A35" s="87" t="s">
        <v>181</v>
      </c>
      <c r="B35" s="97">
        <v>0</v>
      </c>
      <c r="C35" s="98" t="s">
        <v>86</v>
      </c>
    </row>
    <row r="36" spans="1:7" ht="12.75" customHeight="1">
      <c r="A36" s="87" t="s">
        <v>183</v>
      </c>
      <c r="B36" s="97">
        <v>0</v>
      </c>
      <c r="C36" s="98" t="s">
        <v>86</v>
      </c>
    </row>
    <row r="37" spans="1:7" ht="12.75" customHeight="1">
      <c r="A37" s="87" t="s">
        <v>185</v>
      </c>
      <c r="B37" s="97">
        <v>0</v>
      </c>
      <c r="C37" s="98" t="s">
        <v>86</v>
      </c>
    </row>
    <row r="38" spans="1:7" ht="12.75" customHeight="1">
      <c r="A38" s="87" t="s">
        <v>187</v>
      </c>
      <c r="B38" s="97">
        <v>0</v>
      </c>
      <c r="C38" s="98" t="s">
        <v>86</v>
      </c>
    </row>
    <row r="39" spans="1:7" ht="12.75" customHeight="1">
      <c r="A39" s="87" t="s">
        <v>189</v>
      </c>
      <c r="B39" s="97">
        <v>0</v>
      </c>
      <c r="C39" s="98" t="s">
        <v>86</v>
      </c>
    </row>
    <row r="40" spans="1:7" ht="12.75" customHeight="1">
      <c r="A40" s="100"/>
      <c r="B40" s="101">
        <f>AVERAGE(B28:B39)</f>
        <v>0</v>
      </c>
      <c r="C40" s="98" t="s">
        <v>86</v>
      </c>
    </row>
    <row r="41" spans="1:7" ht="12.75" customHeight="1"/>
    <row r="42" spans="1:7" ht="12.75" customHeight="1"/>
    <row r="43" spans="1:7" ht="12.75" customHeight="1"/>
    <row r="44" spans="1:7" ht="12.75" customHeight="1">
      <c r="A44" s="373" t="s">
        <v>192</v>
      </c>
      <c r="B44" s="341"/>
      <c r="C44" s="341"/>
    </row>
    <row r="45" spans="1:7" ht="12.75" customHeight="1">
      <c r="A45" s="341"/>
      <c r="B45" s="341"/>
      <c r="C45" s="341"/>
    </row>
    <row r="46" spans="1:7" ht="12.75" customHeight="1">
      <c r="A46" s="90"/>
      <c r="B46" s="90"/>
      <c r="C46" s="90"/>
      <c r="G46" s="103"/>
    </row>
    <row r="47" spans="1:7" ht="12.75" customHeight="1">
      <c r="A47" s="87" t="s">
        <v>163</v>
      </c>
      <c r="B47" s="87">
        <v>2021</v>
      </c>
    </row>
    <row r="48" spans="1:7" ht="12.75" customHeight="1">
      <c r="A48" s="87" t="s">
        <v>167</v>
      </c>
      <c r="B48" s="97">
        <v>0</v>
      </c>
      <c r="C48" s="98" t="s">
        <v>86</v>
      </c>
      <c r="G48" s="103"/>
    </row>
    <row r="49" spans="1:7" ht="12.75" customHeight="1">
      <c r="A49" s="87" t="s">
        <v>169</v>
      </c>
      <c r="B49" s="97">
        <v>0</v>
      </c>
      <c r="C49" s="98" t="s">
        <v>86</v>
      </c>
    </row>
    <row r="50" spans="1:7" ht="12.75" customHeight="1">
      <c r="A50" s="87" t="s">
        <v>171</v>
      </c>
      <c r="B50" s="97">
        <v>0</v>
      </c>
      <c r="C50" s="98" t="s">
        <v>86</v>
      </c>
      <c r="G50" s="103"/>
    </row>
    <row r="51" spans="1:7" ht="12.75" customHeight="1">
      <c r="A51" s="87" t="s">
        <v>173</v>
      </c>
      <c r="B51" s="97">
        <v>0</v>
      </c>
      <c r="C51" s="98" t="s">
        <v>86</v>
      </c>
    </row>
    <row r="52" spans="1:7" ht="12.75" customHeight="1">
      <c r="A52" s="87" t="s">
        <v>175</v>
      </c>
      <c r="B52" s="97">
        <v>0</v>
      </c>
      <c r="C52" s="98" t="s">
        <v>86</v>
      </c>
    </row>
    <row r="53" spans="1:7" ht="12.75" customHeight="1">
      <c r="A53" s="87" t="s">
        <v>177</v>
      </c>
      <c r="B53" s="97">
        <v>0</v>
      </c>
      <c r="C53" s="98" t="s">
        <v>86</v>
      </c>
    </row>
    <row r="54" spans="1:7" ht="12.75" customHeight="1">
      <c r="A54" s="87" t="s">
        <v>179</v>
      </c>
      <c r="B54" s="97">
        <v>0</v>
      </c>
      <c r="C54" s="98" t="s">
        <v>86</v>
      </c>
    </row>
    <row r="55" spans="1:7" ht="12.75" customHeight="1">
      <c r="A55" s="87" t="s">
        <v>181</v>
      </c>
      <c r="B55" s="97">
        <v>0</v>
      </c>
      <c r="C55" s="98" t="s">
        <v>86</v>
      </c>
    </row>
    <row r="56" spans="1:7" ht="12.75" customHeight="1">
      <c r="A56" s="87" t="s">
        <v>183</v>
      </c>
      <c r="B56" s="97">
        <v>0</v>
      </c>
      <c r="C56" s="98" t="s">
        <v>86</v>
      </c>
      <c r="G56" s="99"/>
    </row>
    <row r="57" spans="1:7" ht="12.75" customHeight="1">
      <c r="A57" s="87" t="s">
        <v>185</v>
      </c>
      <c r="B57" s="97">
        <v>0</v>
      </c>
      <c r="C57" s="98" t="s">
        <v>86</v>
      </c>
    </row>
    <row r="58" spans="1:7" ht="12.75" customHeight="1">
      <c r="A58" s="87" t="s">
        <v>187</v>
      </c>
      <c r="B58" s="97">
        <v>0</v>
      </c>
      <c r="C58" s="98" t="s">
        <v>86</v>
      </c>
    </row>
    <row r="59" spans="1:7" ht="12.75" customHeight="1">
      <c r="A59" s="87" t="s">
        <v>189</v>
      </c>
      <c r="B59" s="97">
        <v>0</v>
      </c>
      <c r="C59" s="98" t="s">
        <v>86</v>
      </c>
    </row>
    <row r="60" spans="1:7" ht="12.75" customHeight="1">
      <c r="A60" s="100"/>
      <c r="B60" s="101">
        <f>AVERAGE(B48:B59)</f>
        <v>0</v>
      </c>
      <c r="C60" s="98" t="s">
        <v>86</v>
      </c>
    </row>
    <row r="61" spans="1:7" ht="12.75" customHeight="1">
      <c r="G61" s="99"/>
    </row>
    <row r="62" spans="1:7" ht="12.75" customHeight="1"/>
    <row r="63" spans="1:7" ht="12.75" customHeight="1"/>
    <row r="64" spans="1:7" ht="12.75" customHeight="1"/>
    <row r="65" spans="7:19" ht="12.75" customHeight="1">
      <c r="G65" s="103"/>
    </row>
    <row r="66" spans="7:19" ht="12.75" customHeight="1"/>
    <row r="67" spans="7:19" ht="12.75" customHeight="1">
      <c r="G67" s="103"/>
    </row>
    <row r="68" spans="7:19" ht="12.75" customHeight="1"/>
    <row r="69" spans="7:19" ht="12.75" customHeight="1">
      <c r="S69" s="98"/>
    </row>
    <row r="70" spans="7:19" ht="12.75" customHeight="1"/>
    <row r="71" spans="7:19" ht="12.75" customHeight="1">
      <c r="G71" s="99"/>
    </row>
    <row r="72" spans="7:19" ht="12.75" customHeight="1"/>
    <row r="73" spans="7:19" ht="12.75" customHeight="1"/>
    <row r="74" spans="7:19" ht="12.75" customHeight="1"/>
    <row r="75" spans="7:19" ht="12.75" customHeight="1"/>
    <row r="76" spans="7:19" ht="12.75" customHeight="1"/>
    <row r="77" spans="7:19" ht="12.75" customHeight="1"/>
    <row r="78" spans="7:19" ht="12.75" customHeight="1"/>
    <row r="79" spans="7:19" ht="12.75" customHeight="1"/>
    <row r="80" spans="7:1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4">
    <mergeCell ref="A3:C4"/>
    <mergeCell ref="E3:J4"/>
    <mergeCell ref="A24:C25"/>
    <mergeCell ref="A44:C45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Y100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3.54296875" customWidth="1"/>
    <col min="4" max="4" width="31" customWidth="1"/>
    <col min="5" max="5" width="7.08984375" customWidth="1"/>
    <col min="6" max="6" width="19.453125" customWidth="1"/>
    <col min="7" max="8" width="18.7265625" customWidth="1"/>
    <col min="9" max="9" width="19.81640625" customWidth="1"/>
    <col min="10" max="10" width="18.7265625" customWidth="1"/>
    <col min="11" max="25" width="14.54296875" customWidth="1"/>
  </cols>
  <sheetData>
    <row r="1" spans="1:25" ht="3" customHeight="1">
      <c r="A1" s="1"/>
      <c r="B1" s="2"/>
      <c r="C1" s="3"/>
      <c r="D1" s="3"/>
      <c r="E1" s="3"/>
      <c r="F1" s="104"/>
      <c r="G1" s="104"/>
      <c r="H1" s="104"/>
      <c r="I1" s="104"/>
      <c r="J1" s="104"/>
      <c r="T1" s="3"/>
      <c r="U1" s="3"/>
      <c r="V1" s="3"/>
      <c r="W1" s="3"/>
      <c r="X1" s="3"/>
      <c r="Y1" s="3"/>
    </row>
    <row r="2" spans="1:25" ht="17.25" customHeight="1">
      <c r="A2" s="1"/>
      <c r="B2" s="2"/>
      <c r="C2" s="340" t="s">
        <v>193</v>
      </c>
      <c r="D2" s="341"/>
      <c r="E2" s="341"/>
      <c r="F2" s="341"/>
      <c r="G2" s="341"/>
      <c r="H2" s="341"/>
      <c r="I2" s="341"/>
      <c r="J2" s="341"/>
      <c r="T2" s="3"/>
      <c r="U2" s="3"/>
      <c r="V2" s="3"/>
      <c r="W2" s="3"/>
      <c r="X2" s="3"/>
      <c r="Y2" s="3"/>
    </row>
    <row r="3" spans="1:25" ht="17.25" customHeight="1">
      <c r="A3" s="1"/>
      <c r="B3" s="2"/>
      <c r="C3" s="341"/>
      <c r="D3" s="341"/>
      <c r="E3" s="341"/>
      <c r="F3" s="341"/>
      <c r="G3" s="341"/>
      <c r="H3" s="341"/>
      <c r="I3" s="341"/>
      <c r="J3" s="341"/>
      <c r="T3" s="3"/>
      <c r="U3" s="3"/>
      <c r="V3" s="3"/>
      <c r="W3" s="3"/>
      <c r="X3" s="3"/>
      <c r="Y3" s="3"/>
    </row>
    <row r="4" spans="1:25" ht="17.25" customHeight="1">
      <c r="A4" s="1"/>
      <c r="B4" s="2"/>
      <c r="C4" s="341"/>
      <c r="D4" s="341"/>
      <c r="E4" s="341"/>
      <c r="F4" s="341"/>
      <c r="G4" s="341"/>
      <c r="H4" s="341"/>
      <c r="I4" s="341"/>
      <c r="J4" s="341"/>
      <c r="T4" s="3"/>
      <c r="U4" s="3"/>
      <c r="V4" s="3"/>
      <c r="W4" s="3"/>
      <c r="X4" s="3"/>
      <c r="Y4" s="3"/>
    </row>
    <row r="5" spans="1:25" ht="17.25" customHeight="1">
      <c r="A5" s="1"/>
      <c r="B5" s="2"/>
      <c r="C5" s="105"/>
      <c r="D5" s="90"/>
      <c r="E5" s="106"/>
      <c r="F5" s="107">
        <f>Hypotheses!G5</f>
        <v>2021</v>
      </c>
      <c r="G5" s="107">
        <f>Hypotheses!H5</f>
        <v>2022</v>
      </c>
      <c r="H5" s="107">
        <f>Hypotheses!I5</f>
        <v>2023</v>
      </c>
      <c r="I5" s="107">
        <f>Hypotheses!J5</f>
        <v>2024</v>
      </c>
      <c r="J5" s="107">
        <f>Hypotheses!K5</f>
        <v>2025</v>
      </c>
      <c r="T5" s="3"/>
      <c r="U5" s="3"/>
      <c r="V5" s="3"/>
      <c r="W5" s="3"/>
      <c r="X5" s="3"/>
      <c r="Y5" s="3"/>
    </row>
    <row r="6" spans="1:25" ht="17.25" customHeight="1">
      <c r="A6" s="1"/>
      <c r="B6" s="2"/>
      <c r="C6" s="3"/>
      <c r="D6" s="3"/>
      <c r="E6" s="3"/>
      <c r="F6" s="108"/>
      <c r="G6" s="109">
        <f t="shared" ref="G6:J6" si="0">+(G7-F7)/F7</f>
        <v>8.8666666666666547E-2</v>
      </c>
      <c r="H6" s="109">
        <f t="shared" si="0"/>
        <v>9.1114513165952454E-2</v>
      </c>
      <c r="I6" s="109">
        <f t="shared" si="0"/>
        <v>9.3548454082692176E-2</v>
      </c>
      <c r="J6" s="109">
        <f t="shared" si="0"/>
        <v>9.595957646233555E-2</v>
      </c>
      <c r="T6" s="3"/>
      <c r="U6" s="3"/>
      <c r="V6" s="3"/>
      <c r="W6" s="3"/>
      <c r="X6" s="3"/>
      <c r="Y6" s="3"/>
    </row>
    <row r="7" spans="1:25" ht="17.25" customHeight="1">
      <c r="A7" s="1"/>
      <c r="B7" s="2"/>
      <c r="C7" s="81" t="s">
        <v>130</v>
      </c>
      <c r="D7" s="82"/>
      <c r="E7" s="83" t="s">
        <v>194</v>
      </c>
      <c r="F7" s="110">
        <f t="shared" ref="F7:J7" si="1">+F9+F12+F15+F18+F21</f>
        <v>15</v>
      </c>
      <c r="G7" s="110">
        <f t="shared" si="1"/>
        <v>16.329999999999998</v>
      </c>
      <c r="H7" s="110">
        <f t="shared" si="1"/>
        <v>17.817900000000002</v>
      </c>
      <c r="I7" s="110">
        <f t="shared" si="1"/>
        <v>19.484737000000003</v>
      </c>
      <c r="J7" s="110">
        <f t="shared" si="1"/>
        <v>21.354484110000001</v>
      </c>
      <c r="T7" s="3"/>
      <c r="U7" s="3"/>
      <c r="V7" s="3"/>
      <c r="W7" s="3"/>
      <c r="X7" s="3"/>
      <c r="Y7" s="3"/>
    </row>
    <row r="8" spans="1:25" ht="17.25" customHeight="1">
      <c r="A8" s="1"/>
      <c r="B8" s="2"/>
      <c r="C8" s="111"/>
      <c r="D8" s="112" t="str">
        <f>+Hypotheses!D69</f>
        <v>Produit 1</v>
      </c>
      <c r="E8" s="113" t="str">
        <f>Hypotheses!$E$13</f>
        <v>XOF</v>
      </c>
      <c r="F8" s="114">
        <f>F9*F10*Hypotheses!$F$25</f>
        <v>21900000</v>
      </c>
      <c r="G8" s="114">
        <f>G9*G10*Hypotheses!$F$25</f>
        <v>22557000</v>
      </c>
      <c r="H8" s="114">
        <f>H9*H10*Hypotheses!$F$25</f>
        <v>23233710</v>
      </c>
      <c r="I8" s="114">
        <f>I9*I10*Hypotheses!$F$25</f>
        <v>23930721.299999997</v>
      </c>
      <c r="J8" s="114">
        <f>J9*J10*Hypotheses!$F$25</f>
        <v>24648642.939000003</v>
      </c>
      <c r="T8" s="3"/>
      <c r="U8" s="3"/>
      <c r="V8" s="3"/>
      <c r="W8" s="3"/>
      <c r="X8" s="3"/>
      <c r="Y8" s="3"/>
    </row>
    <row r="9" spans="1:25" ht="17.25" customHeight="1">
      <c r="A9" s="1"/>
      <c r="B9" s="2"/>
      <c r="C9" s="111"/>
      <c r="D9" s="115" t="str">
        <f>Hypotheses!D48</f>
        <v>Quantité/Jour</v>
      </c>
      <c r="E9" s="113"/>
      <c r="F9" s="116">
        <f>+Hypotheses!G48</f>
        <v>6</v>
      </c>
      <c r="G9" s="116">
        <f>F9*(1+Hypotheses!H70)</f>
        <v>6.18</v>
      </c>
      <c r="H9" s="116">
        <f>G9*(1+Hypotheses!I70)</f>
        <v>6.3654000000000002</v>
      </c>
      <c r="I9" s="116">
        <f>H9*(1+Hypotheses!J70)</f>
        <v>6.556362</v>
      </c>
      <c r="J9" s="116">
        <f>I9*(1+Hypotheses!K70)</f>
        <v>6.7530528600000004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7.25" customHeight="1">
      <c r="A10" s="1"/>
      <c r="B10" s="2"/>
      <c r="C10" s="111"/>
      <c r="D10" s="115" t="str">
        <f>Hypotheses!D49</f>
        <v>Prix</v>
      </c>
      <c r="E10" s="113"/>
      <c r="F10" s="116">
        <f>+Hypotheses!G49</f>
        <v>10000</v>
      </c>
      <c r="G10" s="116">
        <f>F10*(1+Hypotheses!H71)</f>
        <v>10000</v>
      </c>
      <c r="H10" s="116">
        <f>G10*(1+Hypotheses!I71)</f>
        <v>10000</v>
      </c>
      <c r="I10" s="116">
        <f>H10*(1+Hypotheses!J71)</f>
        <v>10000</v>
      </c>
      <c r="J10" s="116">
        <f>I10*(1+Hypotheses!K71)</f>
        <v>10000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7.25" customHeight="1">
      <c r="A11" s="1"/>
      <c r="B11" s="2"/>
      <c r="C11" s="111"/>
      <c r="D11" s="112" t="str">
        <f>Hypotheses!D72</f>
        <v>Produit 2</v>
      </c>
      <c r="E11" s="113" t="str">
        <f>Hypotheses!$E$13</f>
        <v>XOF</v>
      </c>
      <c r="F11" s="114">
        <f>F12*F13*Hypotheses!$F$25</f>
        <v>27375000</v>
      </c>
      <c r="G11" s="114">
        <f>G12*G13*Hypotheses!$F$25</f>
        <v>31481250</v>
      </c>
      <c r="H11" s="114">
        <f>H12*H13*Hypotheses!$F$25</f>
        <v>36203437.5</v>
      </c>
      <c r="I11" s="114">
        <f>I12*I13*Hypotheses!$F$25</f>
        <v>41633953.124999993</v>
      </c>
      <c r="J11" s="114">
        <f>J12*J13*Hypotheses!$F$25</f>
        <v>47879046.093749993</v>
      </c>
      <c r="T11" s="3"/>
      <c r="U11" s="3"/>
      <c r="V11" s="3"/>
      <c r="W11" s="3"/>
      <c r="X11" s="3"/>
      <c r="Y11" s="3"/>
    </row>
    <row r="12" spans="1:25" ht="17.25" customHeight="1">
      <c r="A12" s="1"/>
      <c r="B12" s="2"/>
      <c r="C12" s="111"/>
      <c r="D12" s="115" t="str">
        <f>Hypotheses!D51</f>
        <v>Quantité vendue/Jour</v>
      </c>
      <c r="E12" s="113"/>
      <c r="F12" s="116">
        <f>+Hypotheses!G51</f>
        <v>5</v>
      </c>
      <c r="G12" s="116">
        <f>(F12*(1+Hypotheses!H73))</f>
        <v>5.75</v>
      </c>
      <c r="H12" s="116">
        <f>(G12*(1+Hypotheses!I73))</f>
        <v>6.6124999999999998</v>
      </c>
      <c r="I12" s="116">
        <f>(H12*(1+Hypotheses!J73))</f>
        <v>7.6043749999999992</v>
      </c>
      <c r="J12" s="116">
        <f>(I12*(1+Hypotheses!K73))</f>
        <v>8.7450312499999985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7.25" customHeight="1">
      <c r="A13" s="1"/>
      <c r="B13" s="2"/>
      <c r="C13" s="111"/>
      <c r="D13" s="115" t="str">
        <f>Hypotheses!D52</f>
        <v>Prix</v>
      </c>
      <c r="E13" s="113"/>
      <c r="F13" s="116">
        <f>+Hypotheses!G52</f>
        <v>15000</v>
      </c>
      <c r="G13" s="116">
        <f>(F13*(1+Hypotheses!H74))</f>
        <v>15000</v>
      </c>
      <c r="H13" s="116">
        <f>(G13*(1+Hypotheses!I74))</f>
        <v>15000</v>
      </c>
      <c r="I13" s="116">
        <f>(H13*(1+Hypotheses!J74))</f>
        <v>15000</v>
      </c>
      <c r="J13" s="116">
        <f>(I13*(1+Hypotheses!K74))</f>
        <v>15000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7.25" customHeight="1">
      <c r="A14" s="1"/>
      <c r="B14" s="2"/>
      <c r="C14" s="111"/>
      <c r="D14" s="112" t="str">
        <f>+Hypotheses!D75</f>
        <v>Produit 3</v>
      </c>
      <c r="E14" s="113" t="str">
        <f>Hypotheses!$E$13</f>
        <v>XOF</v>
      </c>
      <c r="F14" s="114">
        <f>F15*F16*Hypotheses!$F$25</f>
        <v>29200000</v>
      </c>
      <c r="G14" s="114">
        <f>G15*G16*Hypotheses!$F$25</f>
        <v>32120000</v>
      </c>
      <c r="H14" s="114">
        <f>H15*H16*Hypotheses!$F$25</f>
        <v>35332000.000000007</v>
      </c>
      <c r="I14" s="114">
        <f>I15*I16*Hypotheses!$F$25</f>
        <v>38865200.000000007</v>
      </c>
      <c r="J14" s="114">
        <f>J15*J16*Hypotheses!$F$25</f>
        <v>42751720.000000015</v>
      </c>
      <c r="T14" s="3"/>
      <c r="U14" s="3"/>
      <c r="V14" s="3"/>
      <c r="W14" s="3"/>
      <c r="X14" s="3"/>
      <c r="Y14" s="3"/>
    </row>
    <row r="15" spans="1:25" ht="17.25" customHeight="1">
      <c r="A15" s="1"/>
      <c r="B15" s="2"/>
      <c r="C15" s="111"/>
      <c r="D15" s="115" t="str">
        <f>Hypotheses!D54</f>
        <v>Quantité vendue/Jour</v>
      </c>
      <c r="E15" s="113"/>
      <c r="F15" s="116">
        <f>+Hypotheses!G54</f>
        <v>4</v>
      </c>
      <c r="G15" s="116">
        <f>(F15*(1+Hypotheses!H76))</f>
        <v>4.4000000000000004</v>
      </c>
      <c r="H15" s="116">
        <f>(G15*(1+Hypotheses!I76))</f>
        <v>4.8400000000000007</v>
      </c>
      <c r="I15" s="116">
        <f>(H15*(1+Hypotheses!J76))</f>
        <v>5.3240000000000016</v>
      </c>
      <c r="J15" s="116">
        <f>(I15*(1+Hypotheses!K76))</f>
        <v>5.8564000000000025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7.25" customHeight="1">
      <c r="A16" s="1"/>
      <c r="B16" s="2"/>
      <c r="C16" s="111"/>
      <c r="D16" s="115" t="str">
        <f>Hypotheses!D55</f>
        <v>Prix</v>
      </c>
      <c r="E16" s="113"/>
      <c r="F16" s="116">
        <f>+Hypotheses!G55</f>
        <v>20000</v>
      </c>
      <c r="G16" s="116">
        <f>(F16*(1+Hypotheses!H77))</f>
        <v>20000</v>
      </c>
      <c r="H16" s="116">
        <f>(G16*(1+Hypotheses!I77))</f>
        <v>20000</v>
      </c>
      <c r="I16" s="116">
        <f>(H16*(1+Hypotheses!J77))</f>
        <v>20000</v>
      </c>
      <c r="J16" s="116">
        <f>(I16*(1+Hypotheses!K77))</f>
        <v>20000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7.25" customHeight="1">
      <c r="A17" s="1"/>
      <c r="B17" s="2"/>
      <c r="C17" s="111"/>
      <c r="D17" s="112" t="str">
        <f>+Hypotheses!D78</f>
        <v>Produit 4</v>
      </c>
      <c r="E17" s="113" t="str">
        <f>Hypotheses!$E$13</f>
        <v>XOF</v>
      </c>
      <c r="F17" s="114">
        <f>F18*F19*Hypotheses!$F$25</f>
        <v>0</v>
      </c>
      <c r="G17" s="114">
        <f>(F17*(1+Hypotheses!H78))</f>
        <v>0</v>
      </c>
      <c r="H17" s="114">
        <f>H18*H19*Hypotheses!$F$25</f>
        <v>0</v>
      </c>
      <c r="I17" s="114">
        <f>I18*I19*Hypotheses!$F$25</f>
        <v>0</v>
      </c>
      <c r="J17" s="114">
        <f>J18*J19*Hypotheses!$F$25</f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7.25" customHeight="1">
      <c r="A18" s="1"/>
      <c r="B18" s="2"/>
      <c r="C18" s="111"/>
      <c r="D18" s="115" t="str">
        <f>Hypotheses!D57</f>
        <v>Quantité vendue/Jour</v>
      </c>
      <c r="E18" s="113"/>
      <c r="F18" s="116">
        <f>Hypotheses!G57</f>
        <v>0</v>
      </c>
      <c r="G18" s="116">
        <f>(F18*(1+Hypotheses!H79))</f>
        <v>0</v>
      </c>
      <c r="H18" s="116">
        <f>(G18*(1+Hypotheses!I79))</f>
        <v>0</v>
      </c>
      <c r="I18" s="116">
        <f>(H18*(1+Hypotheses!J79))</f>
        <v>0</v>
      </c>
      <c r="J18" s="116">
        <f>(I18*(1+Hypotheses!K79))</f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7.25" customHeight="1">
      <c r="A19" s="1"/>
      <c r="B19" s="2"/>
      <c r="C19" s="111"/>
      <c r="D19" s="115" t="str">
        <f>Hypotheses!D58</f>
        <v>Prix</v>
      </c>
      <c r="E19" s="113"/>
      <c r="F19" s="116">
        <f>Hypotheses!G58</f>
        <v>0</v>
      </c>
      <c r="G19" s="116">
        <f>(F19*(1+Hypotheses!H80))</f>
        <v>0</v>
      </c>
      <c r="H19" s="116">
        <f>(G19*(1+Hypotheses!I80))</f>
        <v>0</v>
      </c>
      <c r="I19" s="116">
        <f>(H19*(1+Hypotheses!J80))</f>
        <v>0</v>
      </c>
      <c r="J19" s="116">
        <f>(I19*(1+Hypotheses!K80))</f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7.25" customHeight="1">
      <c r="A20" s="1"/>
      <c r="B20" s="2"/>
      <c r="C20" s="111"/>
      <c r="D20" s="112" t="str">
        <f>+Hypotheses!D81</f>
        <v>Produit 5</v>
      </c>
      <c r="E20" s="113" t="str">
        <f>Hypotheses!$E$13</f>
        <v>XOF</v>
      </c>
      <c r="F20" s="114">
        <f>F21*F22*Hypotheses!$F$25</f>
        <v>0</v>
      </c>
      <c r="G20" s="114">
        <f>G21*G22*Hypotheses!$F$25</f>
        <v>0</v>
      </c>
      <c r="H20" s="114">
        <f>H21*H22*Hypotheses!$F$25</f>
        <v>0</v>
      </c>
      <c r="I20" s="114">
        <f>I21*I22*Hypotheses!$F$25</f>
        <v>0</v>
      </c>
      <c r="J20" s="114">
        <f>J21*J22*Hypotheses!$F$25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7.25" customHeight="1">
      <c r="A21" s="1"/>
      <c r="B21" s="2"/>
      <c r="C21" s="111"/>
      <c r="D21" s="115" t="str">
        <f>Hypotheses!D60</f>
        <v>Quantité vendue/Jour</v>
      </c>
      <c r="E21" s="113"/>
      <c r="F21" s="116">
        <f>Hypotheses!G60</f>
        <v>0</v>
      </c>
      <c r="G21" s="116">
        <f>(F21*(1+Hypotheses!H82))</f>
        <v>0</v>
      </c>
      <c r="H21" s="116">
        <f>(G21*(1+Hypotheses!I82))</f>
        <v>0</v>
      </c>
      <c r="I21" s="116">
        <f>(H21*(1+Hypotheses!J82))</f>
        <v>0</v>
      </c>
      <c r="J21" s="116">
        <f>(I21*(1+Hypotheses!K82))</f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7.25" customHeight="1">
      <c r="A22" s="1"/>
      <c r="B22" s="2"/>
      <c r="C22" s="111"/>
      <c r="D22" s="115" t="str">
        <f>Hypotheses!D61</f>
        <v>Prix</v>
      </c>
      <c r="E22" s="113"/>
      <c r="F22" s="116">
        <f>Hypotheses!G61</f>
        <v>0</v>
      </c>
      <c r="G22" s="116">
        <f>(F22*(1+Hypotheses!H83))</f>
        <v>0</v>
      </c>
      <c r="H22" s="116">
        <f>(G22*(1+Hypotheses!I83))</f>
        <v>0</v>
      </c>
      <c r="I22" s="116">
        <f>(H22*(1+Hypotheses!J83))</f>
        <v>0</v>
      </c>
      <c r="J22" s="116">
        <f>(I22*(1+Hypotheses!K83))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7.25" customHeight="1">
      <c r="A23" s="1"/>
      <c r="B23" s="2"/>
      <c r="C23" s="111" t="s">
        <v>195</v>
      </c>
      <c r="D23" s="117"/>
      <c r="E23" s="118" t="str">
        <f>Hypotheses!$E$13</f>
        <v>XOF</v>
      </c>
      <c r="F23" s="119">
        <f t="shared" ref="F23:J23" si="2">+F8+F11+F14+F17+F20</f>
        <v>78475000</v>
      </c>
      <c r="G23" s="120">
        <f t="shared" si="2"/>
        <v>86158250</v>
      </c>
      <c r="H23" s="120">
        <f t="shared" si="2"/>
        <v>94769147.5</v>
      </c>
      <c r="I23" s="120">
        <f t="shared" si="2"/>
        <v>104429874.425</v>
      </c>
      <c r="J23" s="120">
        <f t="shared" si="2"/>
        <v>115279409.03275001</v>
      </c>
      <c r="T23" s="3"/>
      <c r="U23" s="3"/>
      <c r="V23" s="3"/>
      <c r="W23" s="3"/>
      <c r="X23" s="3"/>
      <c r="Y23" s="3"/>
    </row>
    <row r="24" spans="1:25" ht="17.25" customHeight="1">
      <c r="A24" s="1"/>
      <c r="B24" s="121"/>
      <c r="C24" s="122" t="s">
        <v>196</v>
      </c>
      <c r="D24" s="123"/>
      <c r="E24" s="124" t="str">
        <f>Hypotheses!$E$13</f>
        <v>XOF</v>
      </c>
      <c r="F24" s="125">
        <f>F25+F26</f>
        <v>24339600</v>
      </c>
      <c r="G24" s="126">
        <f>F24+(F24*Hypotheses!H85)</f>
        <v>24339600</v>
      </c>
      <c r="H24" s="126">
        <f>G24+(G24*Hypotheses!I85)</f>
        <v>24339600</v>
      </c>
      <c r="I24" s="126">
        <f>H24+(H24*Hypotheses!J85)</f>
        <v>24339600</v>
      </c>
      <c r="J24" s="126">
        <f>I24+(I24*Hypotheses!K85)</f>
        <v>24339600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8"/>
      <c r="U24" s="128"/>
      <c r="V24" s="128"/>
      <c r="W24" s="128"/>
      <c r="X24" s="128"/>
      <c r="Y24" s="128"/>
    </row>
    <row r="25" spans="1:25" ht="17.25" customHeight="1">
      <c r="A25" s="1"/>
      <c r="B25" s="121"/>
      <c r="C25" s="111"/>
      <c r="D25" s="123" t="str">
        <f>+Hypotheses!D86</f>
        <v>Salaires &amp; traitements</v>
      </c>
      <c r="E25" s="124" t="str">
        <f>Hypotheses!$E$13</f>
        <v>XOF</v>
      </c>
      <c r="F25" s="126">
        <f>'Estimation des autres charges'!H19</f>
        <v>24000000</v>
      </c>
      <c r="G25" s="126">
        <f>+F25+(F25*Hypotheses!H86)</f>
        <v>24720000</v>
      </c>
      <c r="H25" s="126">
        <f>+G25+(G25*Hypotheses!I86)</f>
        <v>25461600</v>
      </c>
      <c r="I25" s="126">
        <f>+H25+(H25*Hypotheses!J86)</f>
        <v>26225448</v>
      </c>
      <c r="J25" s="126">
        <f>+I25+(I25*Hypotheses!K86)</f>
        <v>27012211.440000001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8"/>
      <c r="U25" s="128"/>
      <c r="V25" s="128"/>
      <c r="W25" s="128"/>
      <c r="X25" s="128"/>
      <c r="Y25" s="128"/>
    </row>
    <row r="26" spans="1:25" ht="17.25" customHeight="1">
      <c r="A26" s="129"/>
      <c r="B26" s="130"/>
      <c r="C26" s="77"/>
      <c r="D26" s="131" t="str">
        <f>Hypotheses!D87</f>
        <v>Achat de matière et fourniture liée</v>
      </c>
      <c r="E26" s="132" t="str">
        <f>Hypotheses!$E$13</f>
        <v>XOF</v>
      </c>
      <c r="F26" s="133">
        <f t="shared" ref="F26:J26" si="3">SUM(F27:F31)</f>
        <v>339600</v>
      </c>
      <c r="G26" s="133">
        <f t="shared" si="3"/>
        <v>340680</v>
      </c>
      <c r="H26" s="133">
        <f t="shared" si="3"/>
        <v>341792.4</v>
      </c>
      <c r="I26" s="133">
        <f t="shared" si="3"/>
        <v>342938.17200000002</v>
      </c>
      <c r="J26" s="133">
        <f t="shared" si="3"/>
        <v>344118.31715999998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5"/>
      <c r="U26" s="135"/>
      <c r="V26" s="135"/>
      <c r="W26" s="135"/>
      <c r="X26" s="135"/>
      <c r="Y26" s="135"/>
    </row>
    <row r="27" spans="1:25" ht="17.25" customHeight="1">
      <c r="A27" s="1"/>
      <c r="B27" s="2"/>
      <c r="C27" s="4"/>
      <c r="D27" s="136" t="str">
        <f>Hypotheses!D88</f>
        <v>Matière A</v>
      </c>
      <c r="E27" s="132" t="str">
        <f>Hypotheses!$E$13</f>
        <v>XOF</v>
      </c>
      <c r="F27" s="137">
        <f>Hypotheses!$F$26*Hypotheses!L48</f>
        <v>36000</v>
      </c>
      <c r="G27" s="137">
        <f>F27*(1+Hypotheses!H88)</f>
        <v>37080</v>
      </c>
      <c r="H27" s="137">
        <f>G27*(1+Hypotheses!I88)</f>
        <v>38192.400000000001</v>
      </c>
      <c r="I27" s="137">
        <f>H27*(1+Hypotheses!J88)</f>
        <v>39338.172000000006</v>
      </c>
      <c r="J27" s="137">
        <f>I27*(1+Hypotheses!K88)</f>
        <v>40518.317160000006</v>
      </c>
      <c r="T27" s="3"/>
      <c r="U27" s="3"/>
      <c r="V27" s="3"/>
      <c r="W27" s="3"/>
      <c r="X27" s="3"/>
      <c r="Y27" s="3"/>
    </row>
    <row r="28" spans="1:25" ht="17.25" customHeight="1">
      <c r="A28" s="1"/>
      <c r="B28" s="2"/>
      <c r="C28" s="4"/>
      <c r="D28" s="136" t="str">
        <f>Hypotheses!D89</f>
        <v>Matière B</v>
      </c>
      <c r="E28" s="132" t="str">
        <f>Hypotheses!$E$13</f>
        <v>XOF</v>
      </c>
      <c r="F28" s="137">
        <f>Hypotheses!$F$26*Hypotheses!L49</f>
        <v>176400</v>
      </c>
      <c r="G28" s="137">
        <f>F28*(1+Hypotheses!H89)</f>
        <v>176400</v>
      </c>
      <c r="H28" s="137">
        <f>G28*(1+Hypotheses!I89)</f>
        <v>176400</v>
      </c>
      <c r="I28" s="137">
        <f>H28*(1+Hypotheses!J89)</f>
        <v>176400</v>
      </c>
      <c r="J28" s="137">
        <f>I28*(1+Hypotheses!K89)</f>
        <v>176400</v>
      </c>
      <c r="T28" s="3"/>
      <c r="U28" s="3"/>
      <c r="V28" s="3"/>
      <c r="W28" s="3"/>
      <c r="X28" s="3"/>
      <c r="Y28" s="3"/>
    </row>
    <row r="29" spans="1:25" ht="17.25" customHeight="1">
      <c r="A29" s="1"/>
      <c r="B29" s="2"/>
      <c r="C29" s="4"/>
      <c r="D29" s="136" t="str">
        <f>Hypotheses!D90</f>
        <v>Matière C</v>
      </c>
      <c r="E29" s="132" t="str">
        <f>Hypotheses!$E$13</f>
        <v>XOF</v>
      </c>
      <c r="F29" s="137">
        <f>Hypotheses!$F$26*Hypotheses!L50</f>
        <v>55200</v>
      </c>
      <c r="G29" s="137">
        <f>F29*(1+Hypotheses!H90)</f>
        <v>55200</v>
      </c>
      <c r="H29" s="137">
        <f>G29*(1+Hypotheses!I90)</f>
        <v>55200</v>
      </c>
      <c r="I29" s="137">
        <f>H29*(1+Hypotheses!J90)</f>
        <v>55200</v>
      </c>
      <c r="J29" s="137">
        <f>I29*(1+Hypotheses!K90)</f>
        <v>55200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7.25" customHeight="1">
      <c r="A30" s="1"/>
      <c r="B30" s="2"/>
      <c r="C30" s="4"/>
      <c r="D30" s="136" t="str">
        <f>Hypotheses!D91</f>
        <v>Matière D</v>
      </c>
      <c r="E30" s="132" t="str">
        <f>Hypotheses!$E$13</f>
        <v>XOF</v>
      </c>
      <c r="F30" s="137">
        <f>Hypotheses!$F$26*Hypotheses!L51</f>
        <v>28800</v>
      </c>
      <c r="G30" s="137">
        <f>F30*(1+Hypotheses!H91)</f>
        <v>28800</v>
      </c>
      <c r="H30" s="137">
        <f>G30*(1+Hypotheses!I91)</f>
        <v>28800</v>
      </c>
      <c r="I30" s="137">
        <f>H30*(1+Hypotheses!J91)</f>
        <v>28800</v>
      </c>
      <c r="J30" s="137">
        <f>I30*(1+Hypotheses!K91)</f>
        <v>28800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7.25" customHeight="1">
      <c r="A31" s="1"/>
      <c r="B31" s="2"/>
      <c r="C31" s="4"/>
      <c r="D31" s="136" t="str">
        <f>Hypotheses!D92</f>
        <v>Matière E</v>
      </c>
      <c r="E31" s="132" t="str">
        <f>Hypotheses!$E$13</f>
        <v>XOF</v>
      </c>
      <c r="F31" s="137">
        <f>Hypotheses!$F$26*Hypotheses!L52</f>
        <v>43200</v>
      </c>
      <c r="G31" s="137">
        <f>F31*(1+Hypotheses!H92)</f>
        <v>43200</v>
      </c>
      <c r="H31" s="137">
        <f>G31*(1+Hypotheses!I92)</f>
        <v>43200</v>
      </c>
      <c r="I31" s="137">
        <f>H31*(1+Hypotheses!J92)</f>
        <v>43200</v>
      </c>
      <c r="J31" s="137">
        <f>I31*(1+Hypotheses!K92)</f>
        <v>43200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7.25" customHeight="1">
      <c r="A32" s="1"/>
      <c r="B32" s="2"/>
      <c r="C32" s="111" t="s">
        <v>197</v>
      </c>
      <c r="D32" s="4"/>
      <c r="E32" s="118" t="str">
        <f>Hypotheses!$E$13</f>
        <v>XOF</v>
      </c>
      <c r="F32" s="120">
        <f t="shared" ref="F32:J32" si="4">F23-F24</f>
        <v>54135400</v>
      </c>
      <c r="G32" s="120">
        <f t="shared" si="4"/>
        <v>61818650</v>
      </c>
      <c r="H32" s="120">
        <f t="shared" si="4"/>
        <v>70429547.5</v>
      </c>
      <c r="I32" s="120">
        <f t="shared" si="4"/>
        <v>80090274.424999997</v>
      </c>
      <c r="J32" s="120">
        <f t="shared" si="4"/>
        <v>90939809.03275001</v>
      </c>
      <c r="T32" s="3"/>
      <c r="U32" s="3"/>
      <c r="V32" s="3"/>
      <c r="W32" s="3"/>
      <c r="X32" s="3"/>
      <c r="Y32" s="3"/>
    </row>
    <row r="33" spans="1:25" ht="17.25" customHeight="1">
      <c r="A33" s="129"/>
      <c r="B33" s="130"/>
      <c r="C33" s="77"/>
      <c r="D33" s="131" t="str">
        <f>Hypotheses!D93</f>
        <v xml:space="preserve">Autres achats </v>
      </c>
      <c r="E33" s="132" t="str">
        <f>Hypotheses!$E$13</f>
        <v>XOF</v>
      </c>
      <c r="F33" s="138">
        <f t="shared" ref="F33:J33" si="5">SUM(F34:F42)</f>
        <v>27000000</v>
      </c>
      <c r="G33" s="138">
        <f t="shared" si="5"/>
        <v>27420000</v>
      </c>
      <c r="H33" s="138">
        <f t="shared" si="5"/>
        <v>27847200</v>
      </c>
      <c r="I33" s="138">
        <f t="shared" si="5"/>
        <v>28281732</v>
      </c>
      <c r="J33" s="138">
        <f t="shared" si="5"/>
        <v>28723730.52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ht="17.25" customHeight="1">
      <c r="A34" s="1"/>
      <c r="B34" s="2"/>
      <c r="C34" s="4"/>
      <c r="D34" s="136" t="str">
        <f>Hypotheses!D94</f>
        <v>Eau</v>
      </c>
      <c r="E34" s="132" t="str">
        <f>Hypotheses!$E$13</f>
        <v>XOF</v>
      </c>
      <c r="F34" s="137">
        <f>'Estimation des autres charges'!B40</f>
        <v>0</v>
      </c>
      <c r="G34" s="137">
        <f>+F34+(F34*Hypotheses!H94)</f>
        <v>0</v>
      </c>
      <c r="H34" s="137">
        <f>+G34+(G34*Hypotheses!I94)</f>
        <v>0</v>
      </c>
      <c r="I34" s="137">
        <f>+H34+(H34*Hypotheses!J94)</f>
        <v>0</v>
      </c>
      <c r="J34" s="137">
        <f>+I34+(I34*Hypotheses!K94)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7.25" customHeight="1">
      <c r="A35" s="1"/>
      <c r="B35" s="2"/>
      <c r="C35" s="4"/>
      <c r="D35" s="136" t="str">
        <f>Hypotheses!D95</f>
        <v>Electricité</v>
      </c>
      <c r="E35" s="132" t="str">
        <f>Hypotheses!$E$13</f>
        <v>XOF</v>
      </c>
      <c r="F35" s="137">
        <f>'Estimation des autres charges'!B19</f>
        <v>0</v>
      </c>
      <c r="G35" s="137">
        <f>+F35+(F35*Hypotheses!H95)</f>
        <v>0</v>
      </c>
      <c r="H35" s="137">
        <f>+G35+(G35*Hypotheses!I95)</f>
        <v>0</v>
      </c>
      <c r="I35" s="137">
        <f>+H35+(H35*Hypotheses!J95)</f>
        <v>0</v>
      </c>
      <c r="J35" s="137">
        <f>+I35+(I35*Hypotheses!K95)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7.25" customHeight="1">
      <c r="A36" s="1"/>
      <c r="B36" s="2"/>
      <c r="C36" s="4"/>
      <c r="D36" s="136" t="str">
        <f>Hypotheses!D96</f>
        <v>Téléphone et internet</v>
      </c>
      <c r="E36" s="132" t="str">
        <f>Hypotheses!$E$13</f>
        <v>XOF</v>
      </c>
      <c r="F36" s="137">
        <f>'Estimation des autres charges'!B60</f>
        <v>0</v>
      </c>
      <c r="G36" s="137">
        <f>+F36+(F36*Hypotheses!H96)</f>
        <v>0</v>
      </c>
      <c r="H36" s="137">
        <f>+G36+(G36*Hypotheses!I96)</f>
        <v>0</v>
      </c>
      <c r="I36" s="137">
        <f>+H36+(H36*Hypotheses!J96)</f>
        <v>0</v>
      </c>
      <c r="J36" s="137">
        <f>+I36+(I36*Hypotheses!K96)</f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7.25" customHeight="1">
      <c r="A37" s="1"/>
      <c r="B37" s="2"/>
      <c r="C37" s="4"/>
      <c r="D37" s="136" t="str">
        <f>Hypotheses!D97</f>
        <v>Fourniture de bureau</v>
      </c>
      <c r="E37" s="132" t="str">
        <f>Hypotheses!$E$13</f>
        <v>XOF</v>
      </c>
      <c r="F37" s="139">
        <v>0</v>
      </c>
      <c r="G37" s="137">
        <f>+F37+(F37*Hypotheses!H97)</f>
        <v>0</v>
      </c>
      <c r="H37" s="137">
        <f>+G37+(G37*Hypotheses!I97)</f>
        <v>0</v>
      </c>
      <c r="I37" s="137">
        <f>+H37+(H37*Hypotheses!J97)</f>
        <v>0</v>
      </c>
      <c r="J37" s="137">
        <f>+I37+(I37*Hypotheses!K97)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7.25" customHeight="1">
      <c r="A38" s="44"/>
      <c r="B38" s="45"/>
      <c r="C38" s="4"/>
      <c r="D38" s="136" t="str">
        <f>Hypotheses!D98</f>
        <v>Entretien</v>
      </c>
      <c r="E38" s="132" t="str">
        <f>Hypotheses!$E$13</f>
        <v>XOF</v>
      </c>
      <c r="F38" s="139">
        <v>0</v>
      </c>
      <c r="G38" s="137">
        <f>+F38+(F38*Hypotheses!H98)</f>
        <v>0</v>
      </c>
      <c r="H38" s="137">
        <f>+G38+(G38*Hypotheses!I98)</f>
        <v>0</v>
      </c>
      <c r="I38" s="137">
        <f>+H38+(H38*Hypotheses!J98)</f>
        <v>0</v>
      </c>
      <c r="J38" s="137">
        <f>+I38+(I38*Hypotheses!K98)</f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7.25" customHeight="1">
      <c r="A39" s="44"/>
      <c r="B39" s="45"/>
      <c r="C39" s="4"/>
      <c r="D39" s="136" t="str">
        <f>Hypotheses!D99</f>
        <v>Achat de prestation de service</v>
      </c>
      <c r="E39" s="132" t="str">
        <f>Hypotheses!$E$13</f>
        <v>XOF</v>
      </c>
      <c r="F39" s="139">
        <v>15000000</v>
      </c>
      <c r="G39" s="137">
        <f>+F39+(F39*Hypotheses!H99)</f>
        <v>15300000</v>
      </c>
      <c r="H39" s="137">
        <f>+G39+(G39*Hypotheses!I99)</f>
        <v>15606000</v>
      </c>
      <c r="I39" s="137">
        <f>+H39+(H39*Hypotheses!J99)</f>
        <v>15918120</v>
      </c>
      <c r="J39" s="137">
        <f>+I39+(I39*Hypotheses!K99)</f>
        <v>16236482.4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7.25" customHeight="1">
      <c r="A40" s="44"/>
      <c r="B40" s="45"/>
      <c r="C40" s="4"/>
      <c r="D40" s="136" t="str">
        <f>Hypotheses!D100</f>
        <v>Achat d'emballage</v>
      </c>
      <c r="E40" s="132" t="str">
        <f>Hypotheses!$E$13</f>
        <v>XOF</v>
      </c>
      <c r="F40" s="139">
        <v>0</v>
      </c>
      <c r="G40" s="137">
        <f>+F40+(F40*Hypotheses!H100)</f>
        <v>0</v>
      </c>
      <c r="H40" s="137">
        <f>+G40+(G40*Hypotheses!I100)</f>
        <v>0</v>
      </c>
      <c r="I40" s="137">
        <f>+H40+(H40*Hypotheses!J100)</f>
        <v>0</v>
      </c>
      <c r="J40" s="137">
        <f>+I40+(I40*Hypotheses!K100)</f>
        <v>0</v>
      </c>
      <c r="T40" s="3"/>
      <c r="U40" s="3"/>
      <c r="V40" s="3"/>
      <c r="W40" s="3"/>
      <c r="X40" s="3"/>
      <c r="Y40" s="3"/>
    </row>
    <row r="41" spans="1:25" ht="17.25" customHeight="1">
      <c r="A41" s="44"/>
      <c r="B41" s="45"/>
      <c r="C41" s="4"/>
      <c r="D41" s="136" t="str">
        <f>Hypotheses!D101</f>
        <v>Carburant</v>
      </c>
      <c r="E41" s="132" t="str">
        <f>Hypotheses!$E$13</f>
        <v>XOF</v>
      </c>
      <c r="F41" s="139">
        <v>12000000</v>
      </c>
      <c r="G41" s="137">
        <f>+F41+(F41*Hypotheses!H101)</f>
        <v>12120000</v>
      </c>
      <c r="H41" s="137">
        <f>+G41+(G41*Hypotheses!I101)</f>
        <v>12241200</v>
      </c>
      <c r="I41" s="137">
        <f>+H41+(H41*Hypotheses!J101)</f>
        <v>12363612</v>
      </c>
      <c r="J41" s="137">
        <f>+I41+(I41*Hypotheses!K101)</f>
        <v>12487248.119999999</v>
      </c>
      <c r="L41" s="140"/>
      <c r="T41" s="3"/>
      <c r="U41" s="3"/>
      <c r="V41" s="3"/>
      <c r="W41" s="3"/>
      <c r="X41" s="3"/>
      <c r="Y41" s="3"/>
    </row>
    <row r="42" spans="1:25" ht="17.25" customHeight="1">
      <c r="A42" s="44"/>
      <c r="B42" s="45"/>
      <c r="C42" s="4"/>
      <c r="D42" s="136" t="str">
        <f>Hypotheses!D102</f>
        <v>Rabais, Remises et Ristourne</v>
      </c>
      <c r="E42" s="132" t="str">
        <f>Hypotheses!$E$13</f>
        <v>XOF</v>
      </c>
      <c r="F42" s="139">
        <v>0</v>
      </c>
      <c r="G42" s="137">
        <f>+F42+(F42*Hypotheses!H102)</f>
        <v>0</v>
      </c>
      <c r="H42" s="137">
        <f>+G42+(G42*Hypotheses!I102)</f>
        <v>0</v>
      </c>
      <c r="I42" s="137">
        <f>+H42+(H42*Hypotheses!J102)</f>
        <v>0</v>
      </c>
      <c r="J42" s="137">
        <f>+I42+(I42*Hypotheses!K102)</f>
        <v>0</v>
      </c>
      <c r="T42" s="3"/>
      <c r="U42" s="3"/>
      <c r="V42" s="3"/>
      <c r="W42" s="3"/>
      <c r="X42" s="3"/>
      <c r="Y42" s="3"/>
    </row>
    <row r="43" spans="1:25" ht="17.25" customHeight="1">
      <c r="A43" s="44"/>
      <c r="B43" s="45"/>
      <c r="C43" s="4"/>
      <c r="D43" s="123" t="str">
        <f>Hypotheses!D103</f>
        <v>Transport</v>
      </c>
      <c r="E43" s="113" t="str">
        <f>Hypotheses!$E$13</f>
        <v>XOF</v>
      </c>
      <c r="F43" s="139">
        <v>2900000</v>
      </c>
      <c r="G43" s="141">
        <f>+F43+(F43*Hypotheses!H103)</f>
        <v>2987000</v>
      </c>
      <c r="H43" s="141">
        <f>+G43+(G43*Hypotheses!I103)</f>
        <v>3076610</v>
      </c>
      <c r="I43" s="141">
        <f>+H43+(H43*Hypotheses!J103)</f>
        <v>3168908.3</v>
      </c>
      <c r="J43" s="141">
        <f>+I43+(I43*Hypotheses!K103)</f>
        <v>3263975.5489999996</v>
      </c>
      <c r="T43" s="3"/>
      <c r="U43" s="3"/>
      <c r="V43" s="3"/>
      <c r="W43" s="3"/>
      <c r="X43" s="3"/>
      <c r="Y43" s="3"/>
    </row>
    <row r="44" spans="1:25" ht="17.25" customHeight="1">
      <c r="A44" s="44"/>
      <c r="B44" s="45"/>
      <c r="C44" s="4"/>
      <c r="D44" s="123" t="str">
        <f>Hypotheses!D104</f>
        <v>Services Extérieurs</v>
      </c>
      <c r="E44" s="113" t="str">
        <f>Hypotheses!$E$13</f>
        <v>XOF</v>
      </c>
      <c r="F44" s="139">
        <v>0</v>
      </c>
      <c r="G44" s="141">
        <f>+F44+(F44*Hypotheses!H104)</f>
        <v>0</v>
      </c>
      <c r="H44" s="141">
        <f>+G44+(G44*Hypotheses!I104)</f>
        <v>0</v>
      </c>
      <c r="I44" s="141">
        <f>+H44+(H44*Hypotheses!J104)</f>
        <v>0</v>
      </c>
      <c r="J44" s="141">
        <f>+I44+(I44*Hypotheses!K104)</f>
        <v>0</v>
      </c>
      <c r="T44" s="3"/>
      <c r="U44" s="3"/>
      <c r="V44" s="3"/>
      <c r="W44" s="3"/>
      <c r="X44" s="3"/>
      <c r="Y44" s="3"/>
    </row>
    <row r="45" spans="1:25" ht="17.25" customHeight="1">
      <c r="A45" s="44"/>
      <c r="B45" s="45"/>
      <c r="C45" s="4"/>
      <c r="D45" s="123" t="str">
        <f>Hypotheses!D105</f>
        <v>Location</v>
      </c>
      <c r="E45" s="113"/>
      <c r="F45" s="139">
        <v>0</v>
      </c>
      <c r="G45" s="141">
        <f>F45*(1+Hypotheses!H105)</f>
        <v>0</v>
      </c>
      <c r="H45" s="141">
        <f>G45*(1+Hypotheses!I105)</f>
        <v>0</v>
      </c>
      <c r="I45" s="141">
        <f>H45*(1+Hypotheses!J105)</f>
        <v>0</v>
      </c>
      <c r="J45" s="141">
        <f>I45*(1+Hypotheses!K105)</f>
        <v>0</v>
      </c>
      <c r="K45" s="3"/>
      <c r="L45" s="3"/>
      <c r="M45" s="3"/>
      <c r="N45" s="3"/>
      <c r="O45" s="3"/>
      <c r="P45" s="3"/>
      <c r="Q45" s="3"/>
      <c r="R45" s="3"/>
      <c r="S45" s="90"/>
      <c r="T45" s="3"/>
      <c r="U45" s="3"/>
      <c r="V45" s="3"/>
      <c r="W45" s="3"/>
      <c r="X45" s="3"/>
      <c r="Y45" s="3"/>
    </row>
    <row r="46" spans="1:25" ht="17.25" customHeight="1">
      <c r="A46" s="44"/>
      <c r="B46" s="45"/>
      <c r="C46" s="4"/>
      <c r="D46" s="123" t="str">
        <f>Hypotheses!D106</f>
        <v>Impôt et Taxes</v>
      </c>
      <c r="E46" s="113" t="str">
        <f>Hypotheses!$E$13</f>
        <v>XOF</v>
      </c>
      <c r="F46" s="139">
        <v>0</v>
      </c>
      <c r="G46" s="141">
        <f>+F46+(F46*Hypotheses!H106)</f>
        <v>0</v>
      </c>
      <c r="H46" s="141">
        <f>+G46+(G46*Hypotheses!I106)</f>
        <v>0</v>
      </c>
      <c r="I46" s="141">
        <f>+H46+(H46*Hypotheses!J106)</f>
        <v>0</v>
      </c>
      <c r="J46" s="141">
        <f>+I46+(I46*Hypotheses!K106)</f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7.25" customHeight="1">
      <c r="A47" s="44"/>
      <c r="B47" s="45"/>
      <c r="C47" s="4"/>
      <c r="D47" s="123" t="str">
        <f>Hypotheses!D107</f>
        <v>Autres charges</v>
      </c>
      <c r="E47" s="113" t="str">
        <f>Hypotheses!$E$13</f>
        <v>XOF</v>
      </c>
      <c r="F47" s="142">
        <v>0</v>
      </c>
      <c r="G47" s="141">
        <f>+F47+(F47*Hypotheses!H107)</f>
        <v>0</v>
      </c>
      <c r="H47" s="141">
        <f>+G47+(G47*Hypotheses!I107)</f>
        <v>0</v>
      </c>
      <c r="I47" s="141">
        <f>+H47+(H47*Hypotheses!J107)</f>
        <v>0</v>
      </c>
      <c r="J47" s="141">
        <f>+I47+(I47*Hypotheses!K107)</f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7.25" customHeight="1">
      <c r="A48" s="44"/>
      <c r="B48" s="45"/>
      <c r="C48" s="111" t="s">
        <v>198</v>
      </c>
      <c r="D48" s="4"/>
      <c r="E48" s="118" t="str">
        <f>Hypotheses!$E$13</f>
        <v>XOF</v>
      </c>
      <c r="F48" s="119">
        <f t="shared" ref="F48:J48" si="6">F32-F33-F43-F44-F45-F46-F47</f>
        <v>24235400</v>
      </c>
      <c r="G48" s="119">
        <f t="shared" si="6"/>
        <v>31411650</v>
      </c>
      <c r="H48" s="119">
        <f t="shared" si="6"/>
        <v>39505737.5</v>
      </c>
      <c r="I48" s="119">
        <f t="shared" si="6"/>
        <v>48639634.125</v>
      </c>
      <c r="J48" s="119">
        <f t="shared" si="6"/>
        <v>58952102.963750012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7.25" customHeight="1">
      <c r="A49" s="44"/>
      <c r="B49" s="45"/>
      <c r="C49" s="111"/>
      <c r="D49" s="123" t="s">
        <v>199</v>
      </c>
      <c r="E49" s="124"/>
      <c r="F49" s="114">
        <f t="shared" ref="F49:J49" si="7">SUM(F50:F51)</f>
        <v>4230000</v>
      </c>
      <c r="G49" s="126">
        <f t="shared" si="7"/>
        <v>4230000</v>
      </c>
      <c r="H49" s="126">
        <f t="shared" si="7"/>
        <v>4230000</v>
      </c>
      <c r="I49" s="126">
        <f t="shared" si="7"/>
        <v>4230000</v>
      </c>
      <c r="J49" s="126">
        <f t="shared" si="7"/>
        <v>4230000</v>
      </c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</row>
    <row r="50" spans="1:25" ht="17.25" customHeight="1">
      <c r="A50" s="44"/>
      <c r="B50" s="45"/>
      <c r="C50" s="4"/>
      <c r="D50" s="143" t="s">
        <v>200</v>
      </c>
      <c r="E50" s="113"/>
      <c r="F50" s="116">
        <f>Amort_Immobilisation!G49</f>
        <v>4230000</v>
      </c>
      <c r="G50" s="116">
        <f>Amort_Immobilisation!H49</f>
        <v>4230000</v>
      </c>
      <c r="H50" s="116">
        <f>Amort_Immobilisation!I49</f>
        <v>4230000</v>
      </c>
      <c r="I50" s="116">
        <f>Amort_Immobilisation!J49</f>
        <v>4230000</v>
      </c>
      <c r="J50" s="116">
        <f>Amort_Immobilisation!K49</f>
        <v>4230000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7.25" customHeight="1">
      <c r="A51" s="44"/>
      <c r="B51" s="45"/>
      <c r="C51" s="4"/>
      <c r="D51" s="143" t="s">
        <v>201</v>
      </c>
      <c r="E51" s="113"/>
      <c r="F51" s="142"/>
      <c r="G51" s="142"/>
      <c r="H51" s="142"/>
      <c r="I51" s="142"/>
      <c r="J51" s="14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7.25" customHeight="1">
      <c r="A52" s="44"/>
      <c r="B52" s="45"/>
      <c r="C52" s="111" t="s">
        <v>202</v>
      </c>
      <c r="D52" s="4"/>
      <c r="E52" s="118" t="str">
        <f>Hypotheses!$E$13</f>
        <v>XOF</v>
      </c>
      <c r="F52" s="120">
        <f t="shared" ref="F52:J52" si="8">+F48-F49</f>
        <v>20005400</v>
      </c>
      <c r="G52" s="120">
        <f t="shared" si="8"/>
        <v>27181650</v>
      </c>
      <c r="H52" s="120">
        <f t="shared" si="8"/>
        <v>35275737.5</v>
      </c>
      <c r="I52" s="120">
        <f t="shared" si="8"/>
        <v>44409634.125</v>
      </c>
      <c r="J52" s="120">
        <f t="shared" si="8"/>
        <v>54722102.963750012</v>
      </c>
      <c r="T52" s="3"/>
      <c r="U52" s="3"/>
      <c r="V52" s="3"/>
      <c r="W52" s="3"/>
      <c r="X52" s="3"/>
      <c r="Y52" s="3"/>
    </row>
    <row r="53" spans="1:25" ht="17.25" customHeight="1">
      <c r="A53" s="44"/>
      <c r="B53" s="45"/>
      <c r="C53" s="4"/>
      <c r="D53" s="143" t="s">
        <v>203</v>
      </c>
      <c r="E53" s="113" t="str">
        <f>Hypotheses!$E$13</f>
        <v>XOF</v>
      </c>
      <c r="F53" s="141">
        <f>'TA _Invest'!J17+'TA _Exploitation'!J18</f>
        <v>6148649.5236855447</v>
      </c>
      <c r="G53" s="141">
        <f>'TA _Invest'!K17+'TA _Exploitation'!K18</f>
        <v>6705218.7267044876</v>
      </c>
      <c r="H53" s="141">
        <f>'TA _Invest'!L17+'TA _Exploitation'!L18</f>
        <v>7378644.1962187951</v>
      </c>
      <c r="I53" s="141">
        <f>'TA _Invest'!M17+'TA _Exploitation'!M18</f>
        <v>8194232.8003327046</v>
      </c>
      <c r="J53" s="141">
        <f>'TA _Invest'!N17+'TA _Exploitation'!N18</f>
        <v>9099971.4040225986</v>
      </c>
      <c r="T53" s="3"/>
      <c r="U53" s="3"/>
      <c r="V53" s="3"/>
      <c r="W53" s="3"/>
      <c r="X53" s="3"/>
      <c r="Y53" s="3"/>
    </row>
    <row r="54" spans="1:25" ht="17.25" customHeight="1">
      <c r="A54" s="44"/>
      <c r="B54" s="45"/>
      <c r="C54" s="111" t="s">
        <v>204</v>
      </c>
      <c r="D54" s="4"/>
      <c r="E54" s="118" t="str">
        <f>Hypotheses!$E$13</f>
        <v>XOF</v>
      </c>
      <c r="F54" s="120">
        <f t="shared" ref="F54:J54" si="9">F52-F53</f>
        <v>13856750.476314455</v>
      </c>
      <c r="G54" s="120">
        <f t="shared" si="9"/>
        <v>20476431.273295514</v>
      </c>
      <c r="H54" s="120">
        <f t="shared" si="9"/>
        <v>27897093.303781204</v>
      </c>
      <c r="I54" s="120">
        <f t="shared" si="9"/>
        <v>36215401.324667297</v>
      </c>
      <c r="J54" s="120">
        <f t="shared" si="9"/>
        <v>45622131.559727415</v>
      </c>
      <c r="T54" s="3"/>
      <c r="U54" s="3"/>
      <c r="V54" s="3"/>
      <c r="W54" s="3"/>
      <c r="X54" s="3"/>
      <c r="Y54" s="3"/>
    </row>
    <row r="55" spans="1:25" ht="17.25" customHeight="1">
      <c r="A55" s="44"/>
      <c r="B55" s="45"/>
      <c r="C55" s="4"/>
      <c r="D55" s="143" t="s">
        <v>205</v>
      </c>
      <c r="E55" s="113" t="str">
        <f>Hypotheses!$E$13</f>
        <v>XOF</v>
      </c>
      <c r="F55" s="141">
        <f>IF(F54&gt;0,F54*Taux_IS,500000)</f>
        <v>4157025.1428943365</v>
      </c>
      <c r="G55" s="141">
        <f>IF(G54&gt;0,G54*Taux_IS,500000)</f>
        <v>6142929.3819886539</v>
      </c>
      <c r="H55" s="141">
        <f>IF(H54&gt;0,H54*Taux_IS,500000)</f>
        <v>8369127.9911343604</v>
      </c>
      <c r="I55" s="141">
        <f>IF(I54&gt;0,I54*Taux_IS,500000)</f>
        <v>10864620.397400189</v>
      </c>
      <c r="J55" s="141">
        <f>IF(J54&gt;0,J54*Taux_IS,500000)</f>
        <v>13686639.467918225</v>
      </c>
      <c r="T55" s="3"/>
      <c r="U55" s="3"/>
      <c r="V55" s="3"/>
      <c r="W55" s="3"/>
      <c r="X55" s="3"/>
      <c r="Y55" s="3"/>
    </row>
    <row r="56" spans="1:25" ht="17.25" customHeight="1">
      <c r="A56" s="44"/>
      <c r="B56" s="45"/>
      <c r="C56" s="81" t="s">
        <v>206</v>
      </c>
      <c r="D56" s="82"/>
      <c r="E56" s="144" t="str">
        <f>Hypotheses!$E$13</f>
        <v>XOF</v>
      </c>
      <c r="F56" s="145">
        <f t="shared" ref="F56:J56" si="10">F54-F55</f>
        <v>9699725.3334201183</v>
      </c>
      <c r="G56" s="145">
        <f t="shared" si="10"/>
        <v>14333501.89130686</v>
      </c>
      <c r="H56" s="145">
        <f t="shared" si="10"/>
        <v>19527965.312646843</v>
      </c>
      <c r="I56" s="145">
        <f t="shared" si="10"/>
        <v>25350780.927267108</v>
      </c>
      <c r="J56" s="145">
        <f t="shared" si="10"/>
        <v>31935492.091809191</v>
      </c>
      <c r="T56" s="3"/>
      <c r="U56" s="3"/>
      <c r="V56" s="3"/>
      <c r="W56" s="3"/>
      <c r="X56" s="3"/>
      <c r="Y56" s="3"/>
    </row>
    <row r="57" spans="1:25" ht="17.25" customHeight="1">
      <c r="A57" s="44"/>
      <c r="B57" s="45"/>
      <c r="C57" s="3"/>
      <c r="D57" s="3"/>
      <c r="E57" s="3"/>
      <c r="F57" s="104"/>
      <c r="G57" s="104"/>
      <c r="H57" s="104"/>
      <c r="I57" s="104"/>
      <c r="J57" s="104"/>
      <c r="T57" s="3"/>
      <c r="U57" s="3"/>
      <c r="V57" s="3"/>
      <c r="W57" s="3"/>
      <c r="X57" s="3"/>
      <c r="Y57" s="3"/>
    </row>
    <row r="58" spans="1:25" ht="17.25" customHeight="1">
      <c r="A58" s="44"/>
      <c r="B58" s="45"/>
      <c r="C58" s="3"/>
      <c r="D58" s="3"/>
      <c r="E58" s="3"/>
      <c r="F58" s="104"/>
      <c r="G58" s="104"/>
      <c r="H58" s="104"/>
      <c r="I58" s="104"/>
      <c r="J58" s="104"/>
      <c r="T58" s="3"/>
      <c r="U58" s="3"/>
      <c r="V58" s="3"/>
      <c r="W58" s="3"/>
      <c r="X58" s="3"/>
      <c r="Y58" s="3"/>
    </row>
    <row r="59" spans="1:25" ht="17.25" customHeight="1">
      <c r="A59" s="44"/>
      <c r="B59" s="45"/>
      <c r="C59" s="3"/>
      <c r="D59" s="3"/>
      <c r="E59" s="3"/>
      <c r="F59" s="104"/>
      <c r="G59" s="104"/>
      <c r="H59" s="104"/>
      <c r="I59" s="104"/>
      <c r="J59" s="104"/>
      <c r="T59" s="3"/>
      <c r="U59" s="3"/>
      <c r="V59" s="3"/>
      <c r="W59" s="3"/>
      <c r="X59" s="3"/>
      <c r="Y59" s="3"/>
    </row>
    <row r="60" spans="1:25" ht="17.25" customHeight="1">
      <c r="A60" s="44"/>
      <c r="B60" s="45"/>
      <c r="C60" s="3"/>
      <c r="D60" s="3"/>
      <c r="E60" s="3"/>
      <c r="F60" s="104"/>
      <c r="G60" s="104"/>
      <c r="H60" s="104"/>
      <c r="I60" s="104"/>
      <c r="J60" s="104"/>
      <c r="T60" s="3"/>
      <c r="U60" s="3"/>
      <c r="V60" s="3"/>
      <c r="W60" s="3"/>
      <c r="X60" s="3"/>
      <c r="Y60" s="3"/>
    </row>
    <row r="61" spans="1:25" ht="17.25" customHeight="1">
      <c r="A61" s="44"/>
      <c r="B61" s="45"/>
      <c r="C61" s="3"/>
      <c r="D61" s="3"/>
      <c r="E61" s="3"/>
      <c r="F61" s="104"/>
      <c r="G61" s="104"/>
      <c r="H61" s="104"/>
      <c r="I61" s="104"/>
      <c r="J61" s="104"/>
      <c r="T61" s="3"/>
      <c r="U61" s="3"/>
      <c r="V61" s="3"/>
      <c r="W61" s="3"/>
      <c r="X61" s="3"/>
      <c r="Y61" s="3"/>
    </row>
    <row r="62" spans="1:25" ht="17.25" customHeight="1">
      <c r="A62" s="44"/>
      <c r="B62" s="45"/>
      <c r="C62" s="3"/>
      <c r="D62" s="3"/>
      <c r="E62" s="3"/>
      <c r="F62" s="104"/>
      <c r="G62" s="104"/>
      <c r="H62" s="104"/>
      <c r="I62" s="104"/>
      <c r="J62" s="104"/>
      <c r="T62" s="3"/>
      <c r="U62" s="3"/>
      <c r="V62" s="3"/>
      <c r="W62" s="3"/>
      <c r="X62" s="3"/>
      <c r="Y62" s="3"/>
    </row>
    <row r="63" spans="1:25" ht="17.25" customHeight="1">
      <c r="A63" s="44"/>
      <c r="B63" s="45"/>
      <c r="C63" s="3"/>
      <c r="D63" s="3"/>
      <c r="E63" s="3"/>
      <c r="F63" s="104"/>
      <c r="G63" s="104"/>
      <c r="H63" s="104"/>
      <c r="I63" s="104"/>
      <c r="J63" s="104"/>
      <c r="T63" s="3"/>
      <c r="U63" s="3"/>
      <c r="V63" s="3"/>
      <c r="W63" s="3"/>
      <c r="X63" s="3"/>
      <c r="Y63" s="3"/>
    </row>
    <row r="64" spans="1:25" ht="17.25" customHeight="1">
      <c r="A64" s="44"/>
      <c r="B64" s="45"/>
      <c r="C64" s="3"/>
      <c r="D64" s="3"/>
      <c r="E64" s="3"/>
      <c r="F64" s="104"/>
      <c r="G64" s="104"/>
      <c r="H64" s="104"/>
      <c r="I64" s="104"/>
      <c r="J64" s="104"/>
      <c r="T64" s="3"/>
      <c r="U64" s="3"/>
      <c r="V64" s="3"/>
      <c r="W64" s="3"/>
      <c r="X64" s="3"/>
      <c r="Y64" s="3"/>
    </row>
    <row r="65" spans="1:25" ht="17.25" customHeight="1">
      <c r="A65" s="44"/>
      <c r="B65" s="45"/>
      <c r="C65" s="3"/>
      <c r="D65" s="3"/>
      <c r="E65" s="3"/>
      <c r="F65" s="104"/>
      <c r="G65" s="104"/>
      <c r="H65" s="104"/>
      <c r="I65" s="104"/>
      <c r="J65" s="104"/>
      <c r="T65" s="3"/>
      <c r="U65" s="3"/>
      <c r="V65" s="3"/>
      <c r="W65" s="3"/>
      <c r="X65" s="3"/>
      <c r="Y65" s="3"/>
    </row>
    <row r="66" spans="1:25" ht="17.25" customHeight="1">
      <c r="A66" s="44"/>
      <c r="B66" s="45"/>
      <c r="C66" s="3"/>
      <c r="D66" s="3"/>
      <c r="E66" s="3"/>
      <c r="F66" s="104"/>
      <c r="G66" s="104"/>
      <c r="H66" s="104"/>
      <c r="I66" s="104"/>
      <c r="J66" s="104"/>
      <c r="T66" s="3"/>
      <c r="U66" s="3"/>
      <c r="V66" s="3"/>
      <c r="W66" s="3"/>
      <c r="X66" s="3"/>
      <c r="Y66" s="3"/>
    </row>
    <row r="67" spans="1:25" ht="17.25" customHeight="1">
      <c r="A67" s="44"/>
      <c r="B67" s="45"/>
      <c r="C67" s="3"/>
      <c r="D67" s="3"/>
      <c r="E67" s="3"/>
      <c r="F67" s="104"/>
      <c r="G67" s="104"/>
      <c r="H67" s="104"/>
      <c r="I67" s="104"/>
      <c r="J67" s="104"/>
      <c r="T67" s="3"/>
      <c r="U67" s="3"/>
      <c r="V67" s="3"/>
      <c r="W67" s="3"/>
      <c r="X67" s="3"/>
      <c r="Y67" s="3"/>
    </row>
    <row r="68" spans="1:25" ht="17.25" customHeight="1">
      <c r="A68" s="44"/>
      <c r="B68" s="45"/>
      <c r="C68" s="3"/>
      <c r="D68" s="3"/>
      <c r="E68" s="3"/>
      <c r="F68" s="104"/>
      <c r="G68" s="104"/>
      <c r="H68" s="104"/>
      <c r="I68" s="104"/>
      <c r="J68" s="104"/>
      <c r="T68" s="3"/>
      <c r="U68" s="3"/>
      <c r="V68" s="3"/>
      <c r="W68" s="3"/>
      <c r="X68" s="3"/>
      <c r="Y68" s="3"/>
    </row>
    <row r="69" spans="1:25" ht="17.25" customHeight="1">
      <c r="A69" s="44"/>
      <c r="B69" s="45"/>
      <c r="C69" s="3"/>
      <c r="D69" s="3"/>
      <c r="E69" s="3"/>
      <c r="F69" s="104"/>
      <c r="G69" s="104"/>
      <c r="H69" s="104"/>
      <c r="I69" s="104"/>
      <c r="J69" s="104"/>
      <c r="T69" s="3"/>
      <c r="U69" s="3"/>
      <c r="V69" s="3"/>
      <c r="W69" s="3"/>
      <c r="X69" s="3"/>
      <c r="Y69" s="3"/>
    </row>
    <row r="70" spans="1:25" ht="17.25" customHeight="1">
      <c r="A70" s="44"/>
      <c r="B70" s="45"/>
      <c r="C70" s="3"/>
      <c r="D70" s="3"/>
      <c r="E70" s="3"/>
      <c r="F70" s="104"/>
      <c r="G70" s="104"/>
      <c r="H70" s="104"/>
      <c r="I70" s="104"/>
      <c r="J70" s="104"/>
      <c r="T70" s="3"/>
      <c r="U70" s="3"/>
      <c r="V70" s="3"/>
      <c r="W70" s="3"/>
      <c r="X70" s="3"/>
      <c r="Y70" s="3"/>
    </row>
    <row r="71" spans="1:25" ht="17.25" customHeight="1">
      <c r="A71" s="44"/>
      <c r="B71" s="45"/>
      <c r="C71" s="3"/>
      <c r="D71" s="3"/>
      <c r="E71" s="3"/>
      <c r="F71" s="104"/>
      <c r="G71" s="104"/>
      <c r="H71" s="104"/>
      <c r="I71" s="104"/>
      <c r="J71" s="104"/>
      <c r="T71" s="3"/>
      <c r="U71" s="3"/>
      <c r="V71" s="3"/>
      <c r="W71" s="3"/>
      <c r="X71" s="3"/>
      <c r="Y71" s="3"/>
    </row>
    <row r="72" spans="1:25" ht="17.25" customHeight="1">
      <c r="A72" s="44"/>
      <c r="B72" s="45"/>
      <c r="C72" s="3"/>
      <c r="D72" s="3"/>
      <c r="E72" s="3"/>
      <c r="F72" s="104"/>
      <c r="G72" s="104"/>
      <c r="H72" s="104"/>
      <c r="I72" s="104"/>
      <c r="J72" s="104"/>
      <c r="T72" s="3"/>
      <c r="U72" s="3"/>
      <c r="V72" s="3"/>
      <c r="W72" s="3"/>
      <c r="X72" s="3"/>
      <c r="Y72" s="3"/>
    </row>
    <row r="73" spans="1:25" ht="17.25" customHeight="1">
      <c r="A73" s="44"/>
      <c r="B73" s="45"/>
      <c r="C73" s="3"/>
      <c r="D73" s="3"/>
      <c r="E73" s="3"/>
      <c r="F73" s="104"/>
      <c r="G73" s="104"/>
      <c r="H73" s="104"/>
      <c r="I73" s="104"/>
      <c r="J73" s="104"/>
      <c r="T73" s="3"/>
      <c r="U73" s="3"/>
      <c r="V73" s="3"/>
      <c r="W73" s="3"/>
      <c r="X73" s="3"/>
      <c r="Y73" s="3"/>
    </row>
    <row r="74" spans="1:25" ht="17.25" customHeight="1">
      <c r="A74" s="44"/>
      <c r="B74" s="45"/>
      <c r="C74" s="3"/>
      <c r="D74" s="3"/>
      <c r="E74" s="3"/>
      <c r="F74" s="104"/>
      <c r="G74" s="104"/>
      <c r="H74" s="104"/>
      <c r="I74" s="104"/>
      <c r="J74" s="104"/>
      <c r="T74" s="3"/>
      <c r="U74" s="3"/>
      <c r="V74" s="3"/>
      <c r="W74" s="3"/>
      <c r="X74" s="3"/>
      <c r="Y74" s="3"/>
    </row>
    <row r="75" spans="1:25" ht="17.25" customHeight="1">
      <c r="A75" s="44"/>
      <c r="B75" s="45"/>
      <c r="C75" s="3"/>
      <c r="D75" s="3"/>
      <c r="E75" s="3"/>
      <c r="F75" s="104"/>
      <c r="G75" s="104"/>
      <c r="H75" s="104"/>
      <c r="I75" s="104"/>
      <c r="J75" s="104"/>
      <c r="T75" s="3"/>
      <c r="U75" s="3"/>
      <c r="V75" s="3"/>
      <c r="W75" s="3"/>
      <c r="X75" s="3"/>
      <c r="Y75" s="3"/>
    </row>
    <row r="76" spans="1:25" ht="17.25" customHeight="1">
      <c r="A76" s="44"/>
      <c r="B76" s="45"/>
      <c r="C76" s="3"/>
      <c r="D76" s="3"/>
      <c r="E76" s="3"/>
      <c r="F76" s="104"/>
      <c r="G76" s="104"/>
      <c r="H76" s="104"/>
      <c r="I76" s="104"/>
      <c r="J76" s="104"/>
      <c r="T76" s="3"/>
      <c r="U76" s="3"/>
      <c r="V76" s="3"/>
      <c r="W76" s="3"/>
      <c r="X76" s="3"/>
      <c r="Y76" s="3"/>
    </row>
    <row r="77" spans="1:25" ht="17.25" customHeight="1">
      <c r="A77" s="44"/>
      <c r="B77" s="45"/>
      <c r="C77" s="3"/>
      <c r="D77" s="3"/>
      <c r="E77" s="3"/>
      <c r="F77" s="104"/>
      <c r="G77" s="104"/>
      <c r="H77" s="104"/>
      <c r="I77" s="104"/>
      <c r="J77" s="104"/>
      <c r="T77" s="3"/>
      <c r="U77" s="3"/>
      <c r="V77" s="3"/>
      <c r="W77" s="3"/>
      <c r="X77" s="3"/>
      <c r="Y77" s="3"/>
    </row>
    <row r="78" spans="1:25" ht="17.25" customHeight="1">
      <c r="A78" s="44"/>
      <c r="B78" s="45"/>
      <c r="C78" s="3"/>
      <c r="D78" s="3"/>
      <c r="E78" s="3"/>
      <c r="F78" s="104"/>
      <c r="G78" s="104"/>
      <c r="H78" s="104"/>
      <c r="I78" s="104"/>
      <c r="J78" s="104"/>
      <c r="T78" s="3"/>
      <c r="U78" s="3"/>
      <c r="V78" s="3"/>
      <c r="W78" s="3"/>
      <c r="X78" s="3"/>
      <c r="Y78" s="3"/>
    </row>
    <row r="79" spans="1:25" ht="17.25" customHeight="1">
      <c r="A79" s="44"/>
      <c r="B79" s="45"/>
      <c r="C79" s="3"/>
      <c r="D79" s="3"/>
      <c r="E79" s="3"/>
      <c r="F79" s="104"/>
      <c r="G79" s="104"/>
      <c r="H79" s="104"/>
      <c r="I79" s="104"/>
      <c r="J79" s="104"/>
      <c r="T79" s="3"/>
      <c r="U79" s="3"/>
      <c r="V79" s="3"/>
      <c r="W79" s="3"/>
      <c r="X79" s="3"/>
      <c r="Y79" s="3"/>
    </row>
    <row r="80" spans="1:25" ht="17.25" customHeight="1">
      <c r="A80" s="44"/>
      <c r="B80" s="45"/>
      <c r="C80" s="3"/>
      <c r="D80" s="3"/>
      <c r="E80" s="3"/>
      <c r="F80" s="104"/>
      <c r="G80" s="104"/>
      <c r="H80" s="104"/>
      <c r="I80" s="104"/>
      <c r="J80" s="104"/>
      <c r="T80" s="3"/>
      <c r="U80" s="3"/>
      <c r="V80" s="3"/>
      <c r="W80" s="3"/>
      <c r="X80" s="3"/>
      <c r="Y80" s="3"/>
    </row>
    <row r="81" spans="1:25" ht="17.25" customHeight="1">
      <c r="A81" s="44"/>
      <c r="B81" s="45"/>
      <c r="C81" s="3"/>
      <c r="D81" s="3"/>
      <c r="E81" s="3"/>
      <c r="F81" s="104"/>
      <c r="G81" s="104"/>
      <c r="H81" s="104"/>
      <c r="I81" s="104"/>
      <c r="J81" s="104"/>
      <c r="T81" s="3"/>
      <c r="U81" s="3"/>
      <c r="V81" s="3"/>
      <c r="W81" s="3"/>
      <c r="X81" s="3"/>
      <c r="Y81" s="3"/>
    </row>
    <row r="82" spans="1:25" ht="17.25" customHeight="1">
      <c r="A82" s="44"/>
      <c r="B82" s="45"/>
      <c r="C82" s="3"/>
      <c r="D82" s="3"/>
      <c r="E82" s="3"/>
      <c r="F82" s="104"/>
      <c r="G82" s="104"/>
      <c r="H82" s="104"/>
      <c r="I82" s="104"/>
      <c r="J82" s="104"/>
      <c r="T82" s="3"/>
      <c r="U82" s="3"/>
      <c r="V82" s="3"/>
      <c r="W82" s="3"/>
      <c r="X82" s="3"/>
      <c r="Y82" s="3"/>
    </row>
    <row r="83" spans="1:25" ht="17.25" customHeight="1">
      <c r="A83" s="44"/>
      <c r="B83" s="45"/>
      <c r="C83" s="3"/>
      <c r="D83" s="3"/>
      <c r="E83" s="3"/>
      <c r="F83" s="104"/>
      <c r="G83" s="104"/>
      <c r="H83" s="104"/>
      <c r="I83" s="104"/>
      <c r="J83" s="104"/>
      <c r="T83" s="3"/>
      <c r="U83" s="3"/>
      <c r="V83" s="3"/>
      <c r="W83" s="3"/>
      <c r="X83" s="3"/>
      <c r="Y83" s="3"/>
    </row>
    <row r="84" spans="1:25" ht="17.25" customHeight="1">
      <c r="A84" s="44"/>
      <c r="B84" s="45"/>
      <c r="C84" s="3"/>
      <c r="D84" s="3"/>
      <c r="E84" s="3"/>
      <c r="F84" s="104"/>
      <c r="G84" s="104"/>
      <c r="H84" s="104"/>
      <c r="I84" s="104"/>
      <c r="J84" s="104"/>
      <c r="T84" s="3"/>
      <c r="U84" s="3"/>
      <c r="V84" s="3"/>
      <c r="W84" s="3"/>
      <c r="X84" s="3"/>
      <c r="Y84" s="3"/>
    </row>
    <row r="85" spans="1:25" ht="17.25" customHeight="1">
      <c r="A85" s="44"/>
      <c r="B85" s="45"/>
      <c r="C85" s="3"/>
      <c r="D85" s="3"/>
      <c r="E85" s="3"/>
      <c r="F85" s="104"/>
      <c r="G85" s="104"/>
      <c r="H85" s="104"/>
      <c r="I85" s="104"/>
      <c r="J85" s="104"/>
      <c r="T85" s="3"/>
      <c r="U85" s="3"/>
      <c r="V85" s="3"/>
      <c r="W85" s="3"/>
      <c r="X85" s="3"/>
      <c r="Y85" s="3"/>
    </row>
    <row r="86" spans="1:25" ht="17.25" customHeight="1">
      <c r="A86" s="44"/>
      <c r="B86" s="45"/>
      <c r="C86" s="3"/>
      <c r="D86" s="3"/>
      <c r="E86" s="3"/>
      <c r="F86" s="104"/>
      <c r="G86" s="104"/>
      <c r="H86" s="104"/>
      <c r="I86" s="104"/>
      <c r="J86" s="104"/>
      <c r="T86" s="3"/>
      <c r="U86" s="3"/>
      <c r="V86" s="3"/>
      <c r="W86" s="3"/>
      <c r="X86" s="3"/>
      <c r="Y86" s="3"/>
    </row>
    <row r="87" spans="1:25" ht="17.25" customHeight="1">
      <c r="A87" s="44"/>
      <c r="B87" s="45"/>
      <c r="C87" s="3"/>
      <c r="D87" s="3"/>
      <c r="E87" s="3"/>
      <c r="F87" s="104"/>
      <c r="G87" s="104"/>
      <c r="H87" s="104"/>
      <c r="I87" s="104"/>
      <c r="J87" s="104"/>
      <c r="T87" s="3"/>
      <c r="U87" s="3"/>
      <c r="V87" s="3"/>
      <c r="W87" s="3"/>
      <c r="X87" s="3"/>
      <c r="Y87" s="3"/>
    </row>
    <row r="88" spans="1:25" ht="17.25" customHeight="1">
      <c r="A88" s="44"/>
      <c r="B88" s="45"/>
      <c r="C88" s="3"/>
      <c r="D88" s="3"/>
      <c r="E88" s="3"/>
      <c r="F88" s="104"/>
      <c r="G88" s="104"/>
      <c r="H88" s="104"/>
      <c r="I88" s="104"/>
      <c r="J88" s="104"/>
      <c r="T88" s="3"/>
      <c r="U88" s="3"/>
      <c r="V88" s="3"/>
      <c r="W88" s="3"/>
      <c r="X88" s="3"/>
      <c r="Y88" s="3"/>
    </row>
    <row r="89" spans="1:25" ht="17.25" customHeight="1">
      <c r="A89" s="44"/>
      <c r="B89" s="45"/>
      <c r="C89" s="3"/>
      <c r="D89" s="3"/>
      <c r="E89" s="3"/>
      <c r="F89" s="104"/>
      <c r="G89" s="104"/>
      <c r="H89" s="104"/>
      <c r="I89" s="104"/>
      <c r="J89" s="104"/>
      <c r="T89" s="3"/>
      <c r="U89" s="3"/>
      <c r="V89" s="3"/>
      <c r="W89" s="3"/>
      <c r="X89" s="3"/>
      <c r="Y89" s="3"/>
    </row>
    <row r="90" spans="1:25" ht="17.25" customHeight="1">
      <c r="A90" s="44"/>
      <c r="B90" s="45"/>
      <c r="C90" s="3"/>
      <c r="D90" s="3"/>
      <c r="E90" s="3"/>
      <c r="F90" s="104"/>
      <c r="G90" s="104"/>
      <c r="H90" s="104"/>
      <c r="I90" s="104"/>
      <c r="J90" s="104"/>
      <c r="T90" s="3"/>
      <c r="U90" s="3"/>
      <c r="V90" s="3"/>
      <c r="W90" s="3"/>
      <c r="X90" s="3"/>
      <c r="Y90" s="3"/>
    </row>
    <row r="91" spans="1:25" ht="17.25" customHeight="1">
      <c r="A91" s="44"/>
      <c r="B91" s="45"/>
      <c r="C91" s="3"/>
      <c r="D91" s="3"/>
      <c r="E91" s="3"/>
      <c r="F91" s="104"/>
      <c r="G91" s="104"/>
      <c r="H91" s="104"/>
      <c r="I91" s="104"/>
      <c r="J91" s="104"/>
      <c r="T91" s="3"/>
      <c r="U91" s="3"/>
      <c r="V91" s="3"/>
      <c r="W91" s="3"/>
      <c r="X91" s="3"/>
      <c r="Y91" s="3"/>
    </row>
    <row r="92" spans="1:25" ht="17.25" customHeight="1">
      <c r="A92" s="44"/>
      <c r="B92" s="45"/>
      <c r="C92" s="3"/>
      <c r="D92" s="3"/>
      <c r="E92" s="3"/>
      <c r="F92" s="104"/>
      <c r="G92" s="104"/>
      <c r="H92" s="104"/>
      <c r="I92" s="104"/>
      <c r="J92" s="104"/>
      <c r="T92" s="3"/>
      <c r="U92" s="3"/>
      <c r="V92" s="3"/>
      <c r="W92" s="3"/>
      <c r="X92" s="3"/>
      <c r="Y92" s="3"/>
    </row>
    <row r="93" spans="1:25" ht="17.25" customHeight="1">
      <c r="A93" s="44"/>
      <c r="B93" s="45"/>
      <c r="C93" s="3"/>
      <c r="D93" s="3"/>
      <c r="E93" s="3"/>
      <c r="F93" s="104"/>
      <c r="G93" s="104"/>
      <c r="H93" s="104"/>
      <c r="I93" s="104"/>
      <c r="J93" s="104"/>
      <c r="T93" s="3"/>
      <c r="U93" s="3"/>
      <c r="V93" s="3"/>
      <c r="W93" s="3"/>
      <c r="X93" s="3"/>
      <c r="Y93" s="3"/>
    </row>
    <row r="94" spans="1:25" ht="17.25" customHeight="1">
      <c r="A94" s="44"/>
      <c r="B94" s="45"/>
      <c r="C94" s="3"/>
      <c r="D94" s="3"/>
      <c r="E94" s="3"/>
      <c r="F94" s="104"/>
      <c r="G94" s="104"/>
      <c r="H94" s="104"/>
      <c r="I94" s="104"/>
      <c r="J94" s="104"/>
      <c r="T94" s="3"/>
      <c r="U94" s="3"/>
      <c r="V94" s="3"/>
      <c r="W94" s="3"/>
      <c r="X94" s="3"/>
      <c r="Y94" s="3"/>
    </row>
    <row r="95" spans="1:25" ht="17.25" customHeight="1">
      <c r="A95" s="44"/>
      <c r="B95" s="45"/>
      <c r="C95" s="3"/>
      <c r="D95" s="3"/>
      <c r="E95" s="3"/>
      <c r="F95" s="104"/>
      <c r="G95" s="104"/>
      <c r="H95" s="104"/>
      <c r="I95" s="104"/>
      <c r="J95" s="104"/>
      <c r="T95" s="3"/>
      <c r="U95" s="3"/>
      <c r="V95" s="3"/>
      <c r="W95" s="3"/>
      <c r="X95" s="3"/>
      <c r="Y95" s="3"/>
    </row>
    <row r="96" spans="1:25" ht="17.25" customHeight="1">
      <c r="A96" s="44"/>
      <c r="B96" s="45"/>
      <c r="C96" s="3"/>
      <c r="D96" s="3"/>
      <c r="E96" s="3"/>
      <c r="F96" s="104"/>
      <c r="G96" s="104"/>
      <c r="H96" s="104"/>
      <c r="I96" s="104"/>
      <c r="J96" s="104"/>
      <c r="T96" s="3"/>
      <c r="U96" s="3"/>
      <c r="V96" s="3"/>
      <c r="W96" s="3"/>
      <c r="X96" s="3"/>
      <c r="Y96" s="3"/>
    </row>
    <row r="97" spans="1:25" ht="17.25" customHeight="1">
      <c r="A97" s="44"/>
      <c r="B97" s="45"/>
      <c r="C97" s="3"/>
      <c r="D97" s="3"/>
      <c r="E97" s="3"/>
      <c r="F97" s="104"/>
      <c r="G97" s="104"/>
      <c r="H97" s="104"/>
      <c r="I97" s="104"/>
      <c r="J97" s="104"/>
      <c r="T97" s="3"/>
      <c r="U97" s="3"/>
      <c r="V97" s="3"/>
      <c r="W97" s="3"/>
      <c r="X97" s="3"/>
      <c r="Y97" s="3"/>
    </row>
    <row r="98" spans="1:25" ht="17.25" customHeight="1">
      <c r="A98" s="44"/>
      <c r="B98" s="45"/>
      <c r="C98" s="3"/>
      <c r="D98" s="3"/>
      <c r="E98" s="3"/>
      <c r="F98" s="104"/>
      <c r="G98" s="104"/>
      <c r="H98" s="104"/>
      <c r="I98" s="104"/>
      <c r="J98" s="104"/>
      <c r="T98" s="3"/>
      <c r="U98" s="3"/>
      <c r="V98" s="3"/>
      <c r="W98" s="3"/>
      <c r="X98" s="3"/>
      <c r="Y98" s="3"/>
    </row>
    <row r="99" spans="1:25" ht="17.25" customHeight="1">
      <c r="A99" s="44"/>
      <c r="B99" s="45"/>
      <c r="C99" s="3"/>
      <c r="D99" s="3"/>
      <c r="E99" s="3"/>
      <c r="F99" s="104"/>
      <c r="G99" s="104"/>
      <c r="H99" s="104"/>
      <c r="I99" s="104"/>
      <c r="J99" s="104"/>
      <c r="T99" s="3"/>
      <c r="U99" s="3"/>
      <c r="V99" s="3"/>
      <c r="W99" s="3"/>
      <c r="X99" s="3"/>
      <c r="Y99" s="3"/>
    </row>
    <row r="100" spans="1:25" ht="17.25" customHeight="1">
      <c r="A100" s="44"/>
      <c r="B100" s="45"/>
      <c r="C100" s="3"/>
      <c r="D100" s="3"/>
      <c r="E100" s="3"/>
      <c r="F100" s="104"/>
      <c r="G100" s="104"/>
      <c r="H100" s="104"/>
      <c r="I100" s="104"/>
      <c r="J100" s="104"/>
      <c r="T100" s="3"/>
      <c r="U100" s="3"/>
      <c r="V100" s="3"/>
      <c r="W100" s="3"/>
      <c r="X100" s="3"/>
      <c r="Y100" s="3"/>
    </row>
    <row r="101" spans="1:25" ht="17.25" customHeight="1">
      <c r="A101" s="44"/>
      <c r="B101" s="45"/>
      <c r="C101" s="3"/>
      <c r="D101" s="3"/>
      <c r="E101" s="3"/>
      <c r="F101" s="104"/>
      <c r="G101" s="104"/>
      <c r="H101" s="104"/>
      <c r="I101" s="104"/>
      <c r="J101" s="104"/>
      <c r="T101" s="3"/>
      <c r="U101" s="3"/>
      <c r="V101" s="3"/>
      <c r="W101" s="3"/>
      <c r="X101" s="3"/>
      <c r="Y101" s="3"/>
    </row>
    <row r="102" spans="1:25" ht="17.25" customHeight="1">
      <c r="A102" s="44"/>
      <c r="B102" s="45"/>
      <c r="C102" s="3"/>
      <c r="D102" s="3"/>
      <c r="E102" s="3"/>
      <c r="F102" s="104"/>
      <c r="G102" s="104"/>
      <c r="H102" s="104"/>
      <c r="I102" s="104"/>
      <c r="J102" s="104"/>
      <c r="T102" s="3"/>
      <c r="U102" s="3"/>
      <c r="V102" s="3"/>
      <c r="W102" s="3"/>
      <c r="X102" s="3"/>
      <c r="Y102" s="3"/>
    </row>
    <row r="103" spans="1:25" ht="17.25" customHeight="1">
      <c r="A103" s="44"/>
      <c r="B103" s="45"/>
      <c r="C103" s="3"/>
      <c r="D103" s="3"/>
      <c r="E103" s="3"/>
      <c r="F103" s="104"/>
      <c r="G103" s="104"/>
      <c r="H103" s="104"/>
      <c r="I103" s="104"/>
      <c r="J103" s="104"/>
      <c r="T103" s="3"/>
      <c r="U103" s="3"/>
      <c r="V103" s="3"/>
      <c r="W103" s="3"/>
      <c r="X103" s="3"/>
      <c r="Y103" s="3"/>
    </row>
    <row r="104" spans="1:25" ht="17.25" customHeight="1">
      <c r="A104" s="44"/>
      <c r="B104" s="45"/>
      <c r="C104" s="3"/>
      <c r="D104" s="3"/>
      <c r="E104" s="3"/>
      <c r="F104" s="104"/>
      <c r="G104" s="104"/>
      <c r="H104" s="104"/>
      <c r="I104" s="104"/>
      <c r="J104" s="104"/>
      <c r="T104" s="3"/>
      <c r="U104" s="3"/>
      <c r="V104" s="3"/>
      <c r="W104" s="3"/>
      <c r="X104" s="3"/>
      <c r="Y104" s="3"/>
    </row>
    <row r="105" spans="1:25" ht="17.25" customHeight="1">
      <c r="A105" s="44"/>
      <c r="B105" s="45"/>
      <c r="C105" s="3"/>
      <c r="D105" s="3"/>
      <c r="E105" s="3"/>
      <c r="F105" s="104"/>
      <c r="G105" s="104"/>
      <c r="H105" s="104"/>
      <c r="I105" s="104"/>
      <c r="J105" s="104"/>
      <c r="T105" s="3"/>
      <c r="U105" s="3"/>
      <c r="V105" s="3"/>
      <c r="W105" s="3"/>
      <c r="X105" s="3"/>
      <c r="Y105" s="3"/>
    </row>
    <row r="106" spans="1:25" ht="17.25" customHeight="1">
      <c r="A106" s="44"/>
      <c r="B106" s="45"/>
      <c r="C106" s="3"/>
      <c r="D106" s="3"/>
      <c r="E106" s="3"/>
      <c r="F106" s="104"/>
      <c r="G106" s="104"/>
      <c r="H106" s="104"/>
      <c r="I106" s="104"/>
      <c r="J106" s="104"/>
      <c r="T106" s="3"/>
      <c r="U106" s="3"/>
      <c r="V106" s="3"/>
      <c r="W106" s="3"/>
      <c r="X106" s="3"/>
      <c r="Y106" s="3"/>
    </row>
    <row r="107" spans="1:25" ht="17.25" customHeight="1">
      <c r="A107" s="44"/>
      <c r="B107" s="45"/>
      <c r="C107" s="3"/>
      <c r="D107" s="3"/>
      <c r="E107" s="3"/>
      <c r="F107" s="104"/>
      <c r="G107" s="104"/>
      <c r="H107" s="104"/>
      <c r="I107" s="104"/>
      <c r="J107" s="104"/>
      <c r="T107" s="3"/>
      <c r="U107" s="3"/>
      <c r="V107" s="3"/>
      <c r="W107" s="3"/>
      <c r="X107" s="3"/>
      <c r="Y107" s="3"/>
    </row>
    <row r="108" spans="1:25" ht="17.25" customHeight="1">
      <c r="A108" s="44"/>
      <c r="B108" s="45"/>
      <c r="C108" s="3"/>
      <c r="D108" s="3"/>
      <c r="E108" s="3"/>
      <c r="F108" s="104"/>
      <c r="G108" s="104"/>
      <c r="H108" s="104"/>
      <c r="I108" s="104"/>
      <c r="J108" s="104"/>
      <c r="T108" s="3"/>
      <c r="U108" s="3"/>
      <c r="V108" s="3"/>
      <c r="W108" s="3"/>
      <c r="X108" s="3"/>
      <c r="Y108" s="3"/>
    </row>
    <row r="109" spans="1:25" ht="17.25" customHeight="1">
      <c r="A109" s="44"/>
      <c r="B109" s="45"/>
      <c r="C109" s="3"/>
      <c r="D109" s="3"/>
      <c r="E109" s="3"/>
      <c r="F109" s="104"/>
      <c r="G109" s="104"/>
      <c r="H109" s="104"/>
      <c r="I109" s="104"/>
      <c r="J109" s="104"/>
      <c r="T109" s="3"/>
      <c r="U109" s="3"/>
      <c r="V109" s="3"/>
      <c r="W109" s="3"/>
      <c r="X109" s="3"/>
      <c r="Y109" s="3"/>
    </row>
    <row r="110" spans="1:25" ht="17.25" customHeight="1">
      <c r="A110" s="44"/>
      <c r="B110" s="45"/>
      <c r="C110" s="3"/>
      <c r="D110" s="3"/>
      <c r="E110" s="3"/>
      <c r="F110" s="104"/>
      <c r="G110" s="104"/>
      <c r="H110" s="104"/>
      <c r="I110" s="104"/>
      <c r="J110" s="104"/>
      <c r="T110" s="3"/>
      <c r="U110" s="3"/>
      <c r="V110" s="3"/>
      <c r="W110" s="3"/>
      <c r="X110" s="3"/>
      <c r="Y110" s="3"/>
    </row>
    <row r="111" spans="1:25" ht="17.25" customHeight="1">
      <c r="A111" s="44"/>
      <c r="B111" s="45"/>
      <c r="C111" s="3"/>
      <c r="D111" s="3"/>
      <c r="E111" s="3"/>
      <c r="F111" s="104"/>
      <c r="G111" s="104"/>
      <c r="H111" s="104"/>
      <c r="I111" s="104"/>
      <c r="J111" s="104"/>
      <c r="T111" s="3"/>
      <c r="U111" s="3"/>
      <c r="V111" s="3"/>
      <c r="W111" s="3"/>
      <c r="X111" s="3"/>
      <c r="Y111" s="3"/>
    </row>
    <row r="112" spans="1:25" ht="17.25" customHeight="1">
      <c r="A112" s="44"/>
      <c r="B112" s="45"/>
      <c r="C112" s="3"/>
      <c r="D112" s="3"/>
      <c r="E112" s="3"/>
      <c r="F112" s="104"/>
      <c r="G112" s="104"/>
      <c r="H112" s="104"/>
      <c r="I112" s="104"/>
      <c r="J112" s="104"/>
      <c r="T112" s="3"/>
      <c r="U112" s="3"/>
      <c r="V112" s="3"/>
      <c r="W112" s="3"/>
      <c r="X112" s="3"/>
      <c r="Y112" s="3"/>
    </row>
    <row r="113" spans="1:25" ht="17.25" customHeight="1">
      <c r="A113" s="44"/>
      <c r="B113" s="45"/>
      <c r="C113" s="3"/>
      <c r="D113" s="3"/>
      <c r="E113" s="3"/>
      <c r="F113" s="104"/>
      <c r="G113" s="104"/>
      <c r="H113" s="104"/>
      <c r="I113" s="104"/>
      <c r="J113" s="104"/>
      <c r="T113" s="3"/>
      <c r="U113" s="3"/>
      <c r="V113" s="3"/>
      <c r="W113" s="3"/>
      <c r="X113" s="3"/>
      <c r="Y113" s="3"/>
    </row>
    <row r="114" spans="1:25" ht="17.25" customHeight="1">
      <c r="A114" s="44"/>
      <c r="B114" s="45"/>
      <c r="C114" s="3"/>
      <c r="D114" s="3"/>
      <c r="E114" s="3"/>
      <c r="F114" s="104"/>
      <c r="G114" s="104"/>
      <c r="H114" s="104"/>
      <c r="I114" s="104"/>
      <c r="J114" s="104"/>
      <c r="T114" s="3"/>
      <c r="U114" s="3"/>
      <c r="V114" s="3"/>
      <c r="W114" s="3"/>
      <c r="X114" s="3"/>
      <c r="Y114" s="3"/>
    </row>
    <row r="115" spans="1:25" ht="17.25" customHeight="1">
      <c r="A115" s="44"/>
      <c r="B115" s="45"/>
      <c r="C115" s="3"/>
      <c r="D115" s="3"/>
      <c r="E115" s="3"/>
      <c r="F115" s="104"/>
      <c r="G115" s="104"/>
      <c r="H115" s="104"/>
      <c r="I115" s="104"/>
      <c r="J115" s="104"/>
      <c r="T115" s="3"/>
      <c r="U115" s="3"/>
      <c r="V115" s="3"/>
      <c r="W115" s="3"/>
      <c r="X115" s="3"/>
      <c r="Y115" s="3"/>
    </row>
    <row r="116" spans="1:25" ht="17.25" customHeight="1">
      <c r="A116" s="44"/>
      <c r="B116" s="45"/>
      <c r="C116" s="3"/>
      <c r="D116" s="3"/>
      <c r="E116" s="3"/>
      <c r="F116" s="104"/>
      <c r="G116" s="104"/>
      <c r="H116" s="104"/>
      <c r="I116" s="104"/>
      <c r="J116" s="104"/>
      <c r="T116" s="3"/>
      <c r="U116" s="3"/>
      <c r="V116" s="3"/>
      <c r="W116" s="3"/>
      <c r="X116" s="3"/>
      <c r="Y116" s="3"/>
    </row>
    <row r="117" spans="1:25" ht="17.25" customHeight="1">
      <c r="A117" s="3"/>
      <c r="B117" s="3"/>
      <c r="C117" s="3"/>
      <c r="D117" s="3"/>
      <c r="E117" s="3"/>
      <c r="F117" s="104"/>
      <c r="G117" s="104"/>
      <c r="H117" s="104"/>
      <c r="I117" s="104"/>
      <c r="J117" s="104"/>
      <c r="T117" s="3"/>
      <c r="U117" s="3"/>
      <c r="V117" s="3"/>
      <c r="W117" s="3"/>
      <c r="X117" s="3"/>
      <c r="Y117" s="3"/>
    </row>
    <row r="118" spans="1:25" ht="17.25" customHeight="1">
      <c r="A118" s="3"/>
      <c r="B118" s="3"/>
      <c r="C118" s="3"/>
      <c r="D118" s="3"/>
      <c r="E118" s="3"/>
      <c r="F118" s="104"/>
      <c r="G118" s="104"/>
      <c r="H118" s="104"/>
      <c r="I118" s="104"/>
      <c r="J118" s="104"/>
      <c r="T118" s="3"/>
      <c r="U118" s="3"/>
      <c r="V118" s="3"/>
      <c r="W118" s="3"/>
      <c r="X118" s="3"/>
      <c r="Y118" s="3"/>
    </row>
    <row r="119" spans="1:25" ht="17.25" customHeight="1">
      <c r="A119" s="3"/>
      <c r="B119" s="3"/>
      <c r="C119" s="3"/>
      <c r="D119" s="3"/>
      <c r="E119" s="3"/>
      <c r="F119" s="104"/>
      <c r="G119" s="104"/>
      <c r="H119" s="104"/>
      <c r="I119" s="104"/>
      <c r="J119" s="104"/>
      <c r="T119" s="3"/>
      <c r="U119" s="3"/>
      <c r="V119" s="3"/>
      <c r="W119" s="3"/>
      <c r="X119" s="3"/>
      <c r="Y119" s="3"/>
    </row>
    <row r="120" spans="1:25" ht="17.25" customHeight="1">
      <c r="A120" s="3"/>
      <c r="B120" s="3"/>
      <c r="C120" s="3"/>
      <c r="D120" s="3"/>
      <c r="E120" s="3"/>
      <c r="F120" s="104"/>
      <c r="G120" s="104"/>
      <c r="H120" s="104"/>
      <c r="I120" s="104"/>
      <c r="J120" s="104"/>
      <c r="T120" s="3"/>
      <c r="U120" s="3"/>
      <c r="V120" s="3"/>
      <c r="W120" s="3"/>
      <c r="X120" s="3"/>
      <c r="Y120" s="3"/>
    </row>
    <row r="121" spans="1:25" ht="17.25" customHeight="1">
      <c r="A121" s="3"/>
      <c r="B121" s="3"/>
      <c r="C121" s="3"/>
      <c r="D121" s="3"/>
      <c r="E121" s="3"/>
      <c r="F121" s="104"/>
      <c r="G121" s="104"/>
      <c r="H121" s="104"/>
      <c r="I121" s="104"/>
      <c r="J121" s="104"/>
      <c r="T121" s="3"/>
      <c r="U121" s="3"/>
      <c r="V121" s="3"/>
      <c r="W121" s="3"/>
      <c r="X121" s="3"/>
      <c r="Y121" s="3"/>
    </row>
    <row r="122" spans="1:25" ht="17.25" customHeight="1">
      <c r="A122" s="3"/>
      <c r="B122" s="3"/>
      <c r="C122" s="3"/>
      <c r="D122" s="3"/>
      <c r="E122" s="3"/>
      <c r="F122" s="104"/>
      <c r="G122" s="104"/>
      <c r="H122" s="104"/>
      <c r="I122" s="104"/>
      <c r="J122" s="104"/>
      <c r="T122" s="3"/>
      <c r="U122" s="3"/>
      <c r="V122" s="3"/>
      <c r="W122" s="3"/>
      <c r="X122" s="3"/>
      <c r="Y122" s="3"/>
    </row>
    <row r="123" spans="1:25" ht="17.25" customHeight="1">
      <c r="A123" s="3"/>
      <c r="B123" s="3"/>
      <c r="C123" s="3"/>
      <c r="D123" s="3"/>
      <c r="E123" s="3"/>
      <c r="F123" s="104"/>
      <c r="G123" s="104"/>
      <c r="H123" s="104"/>
      <c r="I123" s="104"/>
      <c r="J123" s="104"/>
      <c r="T123" s="3"/>
      <c r="U123" s="3"/>
      <c r="V123" s="3"/>
      <c r="W123" s="3"/>
      <c r="X123" s="3"/>
      <c r="Y123" s="3"/>
    </row>
    <row r="124" spans="1:25" ht="17.25" customHeight="1">
      <c r="A124" s="3"/>
      <c r="B124" s="3"/>
      <c r="C124" s="3"/>
      <c r="D124" s="3"/>
      <c r="E124" s="3"/>
      <c r="F124" s="104"/>
      <c r="G124" s="104"/>
      <c r="H124" s="104"/>
      <c r="I124" s="104"/>
      <c r="J124" s="104"/>
      <c r="T124" s="3"/>
      <c r="U124" s="3"/>
      <c r="V124" s="3"/>
      <c r="W124" s="3"/>
      <c r="X124" s="3"/>
      <c r="Y124" s="3"/>
    </row>
    <row r="125" spans="1:25" ht="17.25" customHeight="1">
      <c r="A125" s="3"/>
      <c r="B125" s="3"/>
      <c r="C125" s="3"/>
      <c r="D125" s="3"/>
      <c r="E125" s="3"/>
      <c r="F125" s="104"/>
      <c r="G125" s="104"/>
      <c r="H125" s="104"/>
      <c r="I125" s="104"/>
      <c r="J125" s="104"/>
      <c r="T125" s="3"/>
      <c r="U125" s="3"/>
      <c r="V125" s="3"/>
      <c r="W125" s="3"/>
      <c r="X125" s="3"/>
      <c r="Y125" s="3"/>
    </row>
    <row r="126" spans="1:25" ht="17.25" customHeight="1">
      <c r="A126" s="3"/>
      <c r="B126" s="3"/>
      <c r="C126" s="3"/>
      <c r="D126" s="3"/>
      <c r="E126" s="3"/>
      <c r="F126" s="104"/>
      <c r="G126" s="104"/>
      <c r="H126" s="104"/>
      <c r="I126" s="104"/>
      <c r="J126" s="104"/>
      <c r="T126" s="3"/>
      <c r="U126" s="3"/>
      <c r="V126" s="3"/>
      <c r="W126" s="3"/>
      <c r="X126" s="3"/>
      <c r="Y126" s="3"/>
    </row>
    <row r="127" spans="1:25" ht="17.25" customHeight="1">
      <c r="A127" s="3"/>
      <c r="B127" s="3"/>
      <c r="C127" s="3"/>
      <c r="D127" s="3"/>
      <c r="E127" s="3"/>
      <c r="F127" s="104"/>
      <c r="G127" s="104"/>
      <c r="H127" s="104"/>
      <c r="I127" s="104"/>
      <c r="J127" s="104"/>
      <c r="T127" s="3"/>
      <c r="U127" s="3"/>
      <c r="V127" s="3"/>
      <c r="W127" s="3"/>
      <c r="X127" s="3"/>
      <c r="Y127" s="3"/>
    </row>
    <row r="128" spans="1:25" ht="17.25" customHeight="1">
      <c r="A128" s="3"/>
      <c r="B128" s="3"/>
      <c r="C128" s="3"/>
      <c r="D128" s="3"/>
      <c r="E128" s="3"/>
      <c r="F128" s="104"/>
      <c r="G128" s="104"/>
      <c r="H128" s="104"/>
      <c r="I128" s="104"/>
      <c r="J128" s="104"/>
      <c r="T128" s="3"/>
      <c r="U128" s="3"/>
      <c r="V128" s="3"/>
      <c r="W128" s="3"/>
      <c r="X128" s="3"/>
      <c r="Y128" s="3"/>
    </row>
    <row r="129" spans="1:25" ht="15.75" customHeight="1">
      <c r="A129" s="3"/>
      <c r="B129" s="3"/>
      <c r="C129" s="3"/>
      <c r="D129" s="3"/>
      <c r="E129" s="3"/>
      <c r="F129" s="104"/>
      <c r="G129" s="104"/>
      <c r="H129" s="104"/>
      <c r="I129" s="104"/>
      <c r="J129" s="104"/>
      <c r="T129" s="3"/>
      <c r="U129" s="3"/>
      <c r="V129" s="3"/>
      <c r="W129" s="3"/>
      <c r="X129" s="3"/>
      <c r="Y129" s="3"/>
    </row>
    <row r="130" spans="1:25" ht="15.75" customHeight="1">
      <c r="A130" s="3"/>
      <c r="B130" s="3"/>
      <c r="C130" s="3"/>
      <c r="D130" s="3"/>
      <c r="E130" s="3"/>
      <c r="F130" s="104"/>
      <c r="G130" s="104"/>
      <c r="H130" s="104"/>
      <c r="I130" s="104"/>
      <c r="J130" s="104"/>
      <c r="T130" s="3"/>
      <c r="U130" s="3"/>
      <c r="V130" s="3"/>
      <c r="W130" s="3"/>
      <c r="X130" s="3"/>
      <c r="Y130" s="3"/>
    </row>
    <row r="131" spans="1:25" ht="15.75" customHeight="1">
      <c r="A131" s="3"/>
      <c r="B131" s="3"/>
      <c r="C131" s="3"/>
      <c r="D131" s="3"/>
      <c r="E131" s="3"/>
      <c r="F131" s="104"/>
      <c r="G131" s="104"/>
      <c r="H131" s="104"/>
      <c r="I131" s="104"/>
      <c r="J131" s="104"/>
      <c r="T131" s="3"/>
      <c r="U131" s="3"/>
      <c r="V131" s="3"/>
      <c r="W131" s="3"/>
      <c r="X131" s="3"/>
      <c r="Y131" s="3"/>
    </row>
    <row r="132" spans="1:25" ht="15.75" customHeight="1">
      <c r="A132" s="3"/>
      <c r="B132" s="3"/>
      <c r="C132" s="3"/>
      <c r="D132" s="3"/>
      <c r="E132" s="3"/>
      <c r="F132" s="104"/>
      <c r="G132" s="104"/>
      <c r="H132" s="104"/>
      <c r="I132" s="104"/>
      <c r="J132" s="104"/>
      <c r="T132" s="3"/>
      <c r="U132" s="3"/>
      <c r="V132" s="3"/>
      <c r="W132" s="3"/>
      <c r="X132" s="3"/>
      <c r="Y132" s="3"/>
    </row>
    <row r="133" spans="1:25" ht="15.75" customHeight="1">
      <c r="A133" s="3"/>
      <c r="B133" s="3"/>
      <c r="C133" s="3"/>
      <c r="D133" s="3"/>
      <c r="E133" s="3"/>
      <c r="F133" s="104"/>
      <c r="G133" s="104"/>
      <c r="H133" s="104"/>
      <c r="I133" s="104"/>
      <c r="J133" s="104"/>
      <c r="T133" s="3"/>
      <c r="U133" s="3"/>
      <c r="V133" s="3"/>
      <c r="W133" s="3"/>
      <c r="X133" s="3"/>
      <c r="Y133" s="3"/>
    </row>
    <row r="134" spans="1:25" ht="15.75" customHeight="1">
      <c r="A134" s="3"/>
      <c r="B134" s="3"/>
      <c r="C134" s="3"/>
      <c r="D134" s="3"/>
      <c r="E134" s="3"/>
      <c r="F134" s="104"/>
      <c r="G134" s="104"/>
      <c r="H134" s="104"/>
      <c r="I134" s="104"/>
      <c r="J134" s="104"/>
      <c r="T134" s="3"/>
      <c r="U134" s="3"/>
      <c r="V134" s="3"/>
      <c r="W134" s="3"/>
      <c r="X134" s="3"/>
      <c r="Y134" s="3"/>
    </row>
    <row r="135" spans="1:25" ht="15.75" customHeight="1">
      <c r="A135" s="3"/>
      <c r="B135" s="3"/>
      <c r="C135" s="3"/>
      <c r="D135" s="3"/>
      <c r="E135" s="3"/>
      <c r="F135" s="104"/>
      <c r="G135" s="104"/>
      <c r="H135" s="104"/>
      <c r="I135" s="104"/>
      <c r="J135" s="104"/>
      <c r="T135" s="3"/>
      <c r="U135" s="3"/>
      <c r="V135" s="3"/>
      <c r="W135" s="3"/>
      <c r="X135" s="3"/>
      <c r="Y135" s="3"/>
    </row>
    <row r="136" spans="1:25" ht="15.75" customHeight="1">
      <c r="A136" s="3"/>
      <c r="B136" s="3"/>
      <c r="C136" s="3"/>
      <c r="D136" s="3"/>
      <c r="E136" s="3"/>
      <c r="F136" s="104"/>
      <c r="G136" s="104"/>
      <c r="H136" s="104"/>
      <c r="I136" s="104"/>
      <c r="J136" s="104"/>
      <c r="T136" s="3"/>
      <c r="U136" s="3"/>
      <c r="V136" s="3"/>
      <c r="W136" s="3"/>
      <c r="X136" s="3"/>
      <c r="Y136" s="3"/>
    </row>
    <row r="137" spans="1:25" ht="15.75" customHeight="1">
      <c r="A137" s="3"/>
      <c r="B137" s="3"/>
      <c r="C137" s="3"/>
      <c r="D137" s="3"/>
      <c r="E137" s="3"/>
      <c r="F137" s="104"/>
      <c r="G137" s="104"/>
      <c r="H137" s="104"/>
      <c r="I137" s="104"/>
      <c r="J137" s="104"/>
      <c r="T137" s="3"/>
      <c r="U137" s="3"/>
      <c r="V137" s="3"/>
      <c r="W137" s="3"/>
      <c r="X137" s="3"/>
      <c r="Y137" s="3"/>
    </row>
    <row r="138" spans="1:25" ht="15.75" customHeight="1">
      <c r="A138" s="3"/>
      <c r="B138" s="3"/>
      <c r="C138" s="3"/>
      <c r="D138" s="3"/>
      <c r="E138" s="3"/>
      <c r="F138" s="104"/>
      <c r="G138" s="104"/>
      <c r="H138" s="104"/>
      <c r="I138" s="104"/>
      <c r="J138" s="104"/>
      <c r="T138" s="3"/>
      <c r="U138" s="3"/>
      <c r="V138" s="3"/>
      <c r="W138" s="3"/>
      <c r="X138" s="3"/>
      <c r="Y138" s="3"/>
    </row>
    <row r="139" spans="1:25" ht="15.75" customHeight="1">
      <c r="A139" s="3"/>
      <c r="B139" s="3"/>
      <c r="C139" s="3"/>
      <c r="D139" s="3"/>
      <c r="E139" s="3"/>
      <c r="F139" s="104"/>
      <c r="G139" s="104"/>
      <c r="H139" s="104"/>
      <c r="I139" s="104"/>
      <c r="J139" s="104"/>
      <c r="T139" s="3"/>
      <c r="U139" s="3"/>
      <c r="V139" s="3"/>
      <c r="W139" s="3"/>
      <c r="X139" s="3"/>
      <c r="Y139" s="3"/>
    </row>
    <row r="140" spans="1:25" ht="15.75" customHeight="1">
      <c r="A140" s="3"/>
      <c r="B140" s="3"/>
      <c r="C140" s="3"/>
      <c r="D140" s="3"/>
      <c r="E140" s="3"/>
      <c r="F140" s="104"/>
      <c r="G140" s="104"/>
      <c r="H140" s="104"/>
      <c r="I140" s="104"/>
      <c r="J140" s="104"/>
      <c r="T140" s="3"/>
      <c r="U140" s="3"/>
      <c r="V140" s="3"/>
      <c r="W140" s="3"/>
      <c r="X140" s="3"/>
      <c r="Y140" s="3"/>
    </row>
    <row r="141" spans="1:25" ht="15.75" customHeight="1">
      <c r="A141" s="3"/>
      <c r="B141" s="3"/>
      <c r="C141" s="3"/>
      <c r="D141" s="3"/>
      <c r="E141" s="3"/>
      <c r="F141" s="104"/>
      <c r="G141" s="104"/>
      <c r="H141" s="104"/>
      <c r="I141" s="104"/>
      <c r="J141" s="104"/>
      <c r="T141" s="3"/>
      <c r="U141" s="3"/>
      <c r="V141" s="3"/>
      <c r="W141" s="3"/>
      <c r="X141" s="3"/>
      <c r="Y141" s="3"/>
    </row>
    <row r="142" spans="1:25" ht="15.75" customHeight="1">
      <c r="A142" s="3"/>
      <c r="B142" s="3"/>
      <c r="C142" s="3"/>
      <c r="D142" s="3"/>
      <c r="E142" s="3"/>
      <c r="F142" s="104"/>
      <c r="G142" s="104"/>
      <c r="H142" s="104"/>
      <c r="I142" s="104"/>
      <c r="J142" s="104"/>
      <c r="T142" s="3"/>
      <c r="U142" s="3"/>
      <c r="V142" s="3"/>
      <c r="W142" s="3"/>
      <c r="X142" s="3"/>
      <c r="Y142" s="3"/>
    </row>
    <row r="143" spans="1:25" ht="15.75" customHeight="1">
      <c r="A143" s="3"/>
      <c r="B143" s="3"/>
      <c r="C143" s="3"/>
      <c r="D143" s="3"/>
      <c r="E143" s="3"/>
      <c r="F143" s="104"/>
      <c r="G143" s="104"/>
      <c r="H143" s="104"/>
      <c r="I143" s="104"/>
      <c r="J143" s="104"/>
      <c r="T143" s="3"/>
      <c r="U143" s="3"/>
      <c r="V143" s="3"/>
      <c r="W143" s="3"/>
      <c r="X143" s="3"/>
      <c r="Y143" s="3"/>
    </row>
    <row r="144" spans="1:25" ht="15.75" customHeight="1">
      <c r="A144" s="3"/>
      <c r="B144" s="3"/>
      <c r="C144" s="3"/>
      <c r="D144" s="3"/>
      <c r="E144" s="3"/>
      <c r="F144" s="104"/>
      <c r="G144" s="104"/>
      <c r="H144" s="104"/>
      <c r="I144" s="104"/>
      <c r="J144" s="104"/>
      <c r="T144" s="3"/>
      <c r="U144" s="3"/>
      <c r="V144" s="3"/>
      <c r="W144" s="3"/>
      <c r="X144" s="3"/>
      <c r="Y144" s="3"/>
    </row>
    <row r="145" spans="1:25" ht="15.75" customHeight="1">
      <c r="A145" s="3"/>
      <c r="B145" s="3"/>
      <c r="C145" s="3"/>
      <c r="D145" s="3"/>
      <c r="E145" s="3"/>
      <c r="F145" s="104"/>
      <c r="G145" s="104"/>
      <c r="H145" s="104"/>
      <c r="I145" s="104"/>
      <c r="J145" s="104"/>
      <c r="T145" s="3"/>
      <c r="U145" s="3"/>
      <c r="V145" s="3"/>
      <c r="W145" s="3"/>
      <c r="X145" s="3"/>
      <c r="Y145" s="3"/>
    </row>
    <row r="146" spans="1:25" ht="15.75" customHeight="1">
      <c r="A146" s="3"/>
      <c r="B146" s="3"/>
      <c r="C146" s="3"/>
      <c r="D146" s="3"/>
      <c r="E146" s="3"/>
      <c r="F146" s="104"/>
      <c r="G146" s="104"/>
      <c r="H146" s="104"/>
      <c r="I146" s="104"/>
      <c r="J146" s="104"/>
      <c r="T146" s="3"/>
      <c r="U146" s="3"/>
      <c r="V146" s="3"/>
      <c r="W146" s="3"/>
      <c r="X146" s="3"/>
      <c r="Y146" s="3"/>
    </row>
    <row r="147" spans="1:25" ht="15.75" customHeight="1">
      <c r="A147" s="3"/>
      <c r="B147" s="3"/>
      <c r="C147" s="3"/>
      <c r="D147" s="3"/>
      <c r="E147" s="3"/>
      <c r="F147" s="104"/>
      <c r="G147" s="104"/>
      <c r="H147" s="104"/>
      <c r="I147" s="104"/>
      <c r="J147" s="104"/>
      <c r="T147" s="3"/>
      <c r="U147" s="3"/>
      <c r="V147" s="3"/>
      <c r="W147" s="3"/>
      <c r="X147" s="3"/>
      <c r="Y147" s="3"/>
    </row>
    <row r="148" spans="1:25" ht="15.75" customHeight="1">
      <c r="A148" s="3"/>
      <c r="B148" s="3"/>
      <c r="C148" s="3"/>
      <c r="D148" s="3"/>
      <c r="E148" s="3"/>
      <c r="F148" s="104"/>
      <c r="G148" s="104"/>
      <c r="H148" s="104"/>
      <c r="I148" s="104"/>
      <c r="J148" s="104"/>
      <c r="T148" s="3"/>
      <c r="U148" s="3"/>
      <c r="V148" s="3"/>
      <c r="W148" s="3"/>
      <c r="X148" s="3"/>
      <c r="Y148" s="3"/>
    </row>
    <row r="149" spans="1:25" ht="15.75" customHeight="1">
      <c r="A149" s="3"/>
      <c r="B149" s="3"/>
      <c r="C149" s="3"/>
      <c r="D149" s="3"/>
      <c r="E149" s="3"/>
      <c r="F149" s="104"/>
      <c r="G149" s="104"/>
      <c r="H149" s="104"/>
      <c r="I149" s="104"/>
      <c r="J149" s="104"/>
      <c r="T149" s="3"/>
      <c r="U149" s="3"/>
      <c r="V149" s="3"/>
      <c r="W149" s="3"/>
      <c r="X149" s="3"/>
      <c r="Y149" s="3"/>
    </row>
    <row r="150" spans="1:25" ht="15.75" customHeight="1">
      <c r="A150" s="3"/>
      <c r="B150" s="3"/>
      <c r="C150" s="3"/>
      <c r="D150" s="3"/>
      <c r="E150" s="3"/>
      <c r="F150" s="104"/>
      <c r="G150" s="104"/>
      <c r="H150" s="104"/>
      <c r="I150" s="104"/>
      <c r="J150" s="104"/>
      <c r="T150" s="3"/>
      <c r="U150" s="3"/>
      <c r="V150" s="3"/>
      <c r="W150" s="3"/>
      <c r="X150" s="3"/>
      <c r="Y150" s="3"/>
    </row>
    <row r="151" spans="1:25" ht="15.75" customHeight="1">
      <c r="A151" s="3"/>
      <c r="B151" s="3"/>
      <c r="C151" s="3"/>
      <c r="D151" s="3"/>
      <c r="E151" s="3"/>
      <c r="F151" s="104"/>
      <c r="G151" s="104"/>
      <c r="H151" s="104"/>
      <c r="I151" s="104"/>
      <c r="J151" s="104"/>
      <c r="T151" s="3"/>
      <c r="U151" s="3"/>
      <c r="V151" s="3"/>
      <c r="W151" s="3"/>
      <c r="X151" s="3"/>
      <c r="Y151" s="3"/>
    </row>
    <row r="152" spans="1:25" ht="15.75" customHeight="1">
      <c r="A152" s="3"/>
      <c r="B152" s="3"/>
      <c r="C152" s="3"/>
      <c r="D152" s="3"/>
      <c r="E152" s="3"/>
      <c r="F152" s="104"/>
      <c r="G152" s="104"/>
      <c r="H152" s="104"/>
      <c r="I152" s="104"/>
      <c r="J152" s="104"/>
      <c r="T152" s="3"/>
      <c r="U152" s="3"/>
      <c r="V152" s="3"/>
      <c r="W152" s="3"/>
      <c r="X152" s="3"/>
      <c r="Y152" s="3"/>
    </row>
    <row r="153" spans="1:25" ht="15.75" customHeight="1">
      <c r="A153" s="3"/>
      <c r="B153" s="3"/>
      <c r="C153" s="3"/>
      <c r="D153" s="3"/>
      <c r="E153" s="3"/>
      <c r="F153" s="104"/>
      <c r="G153" s="104"/>
      <c r="H153" s="104"/>
      <c r="I153" s="104"/>
      <c r="J153" s="104"/>
      <c r="T153" s="3"/>
      <c r="U153" s="3"/>
      <c r="V153" s="3"/>
      <c r="W153" s="3"/>
      <c r="X153" s="3"/>
      <c r="Y153" s="3"/>
    </row>
    <row r="154" spans="1:25" ht="15.75" customHeight="1">
      <c r="A154" s="3"/>
      <c r="B154" s="3"/>
      <c r="C154" s="3"/>
      <c r="D154" s="3"/>
      <c r="E154" s="3"/>
      <c r="F154" s="104"/>
      <c r="G154" s="104"/>
      <c r="H154" s="104"/>
      <c r="I154" s="104"/>
      <c r="J154" s="104"/>
      <c r="T154" s="3"/>
      <c r="U154" s="3"/>
      <c r="V154" s="3"/>
      <c r="W154" s="3"/>
      <c r="X154" s="3"/>
      <c r="Y154" s="3"/>
    </row>
    <row r="155" spans="1:25" ht="15.75" customHeight="1">
      <c r="A155" s="3"/>
      <c r="B155" s="3"/>
      <c r="C155" s="3"/>
      <c r="D155" s="3"/>
      <c r="E155" s="3"/>
      <c r="F155" s="104"/>
      <c r="G155" s="104"/>
      <c r="H155" s="104"/>
      <c r="I155" s="104"/>
      <c r="J155" s="104"/>
      <c r="T155" s="3"/>
      <c r="U155" s="3"/>
      <c r="V155" s="3"/>
      <c r="W155" s="3"/>
      <c r="X155" s="3"/>
      <c r="Y155" s="3"/>
    </row>
    <row r="156" spans="1:25" ht="15.75" customHeight="1">
      <c r="A156" s="3"/>
      <c r="B156" s="3"/>
      <c r="C156" s="3"/>
      <c r="D156" s="3"/>
      <c r="E156" s="3"/>
      <c r="F156" s="104"/>
      <c r="G156" s="104"/>
      <c r="H156" s="104"/>
      <c r="I156" s="104"/>
      <c r="J156" s="104"/>
      <c r="T156" s="3"/>
      <c r="U156" s="3"/>
      <c r="V156" s="3"/>
      <c r="W156" s="3"/>
      <c r="X156" s="3"/>
      <c r="Y156" s="3"/>
    </row>
    <row r="157" spans="1:25" ht="15.75" customHeight="1">
      <c r="A157" s="3"/>
      <c r="B157" s="3"/>
      <c r="C157" s="3"/>
      <c r="D157" s="3"/>
      <c r="E157" s="3"/>
      <c r="F157" s="104"/>
      <c r="G157" s="104"/>
      <c r="H157" s="104"/>
      <c r="I157" s="104"/>
      <c r="J157" s="104"/>
      <c r="T157" s="3"/>
      <c r="U157" s="3"/>
      <c r="V157" s="3"/>
      <c r="W157" s="3"/>
      <c r="X157" s="3"/>
      <c r="Y157" s="3"/>
    </row>
    <row r="158" spans="1:25" ht="15.75" customHeight="1">
      <c r="A158" s="3"/>
      <c r="B158" s="3"/>
      <c r="C158" s="3"/>
      <c r="D158" s="3"/>
      <c r="E158" s="3"/>
      <c r="F158" s="104"/>
      <c r="G158" s="104"/>
      <c r="H158" s="104"/>
      <c r="I158" s="104"/>
      <c r="J158" s="104"/>
      <c r="T158" s="3"/>
      <c r="U158" s="3"/>
      <c r="V158" s="3"/>
      <c r="W158" s="3"/>
      <c r="X158" s="3"/>
      <c r="Y158" s="3"/>
    </row>
    <row r="159" spans="1:25" ht="15.75" customHeight="1">
      <c r="A159" s="3"/>
      <c r="B159" s="3"/>
      <c r="C159" s="3"/>
      <c r="D159" s="3"/>
      <c r="E159" s="3"/>
      <c r="F159" s="104"/>
      <c r="G159" s="104"/>
      <c r="H159" s="104"/>
      <c r="I159" s="104"/>
      <c r="J159" s="104"/>
      <c r="T159" s="3"/>
      <c r="U159" s="3"/>
      <c r="V159" s="3"/>
      <c r="W159" s="3"/>
      <c r="X159" s="3"/>
      <c r="Y159" s="3"/>
    </row>
    <row r="160" spans="1:25" ht="15.75" customHeight="1">
      <c r="A160" s="3"/>
      <c r="B160" s="3"/>
      <c r="C160" s="3"/>
      <c r="D160" s="3"/>
      <c r="E160" s="3"/>
      <c r="F160" s="104"/>
      <c r="G160" s="104"/>
      <c r="H160" s="104"/>
      <c r="I160" s="104"/>
      <c r="J160" s="104"/>
      <c r="T160" s="3"/>
      <c r="U160" s="3"/>
      <c r="V160" s="3"/>
      <c r="W160" s="3"/>
      <c r="X160" s="3"/>
      <c r="Y160" s="3"/>
    </row>
    <row r="161" spans="1:25" ht="15.75" customHeight="1">
      <c r="A161" s="3"/>
      <c r="B161" s="3"/>
      <c r="C161" s="3"/>
      <c r="D161" s="3"/>
      <c r="E161" s="3"/>
      <c r="F161" s="104"/>
      <c r="G161" s="104"/>
      <c r="H161" s="104"/>
      <c r="I161" s="104"/>
      <c r="J161" s="104"/>
      <c r="T161" s="3"/>
      <c r="U161" s="3"/>
      <c r="V161" s="3"/>
      <c r="W161" s="3"/>
      <c r="X161" s="3"/>
      <c r="Y161" s="3"/>
    </row>
    <row r="162" spans="1:25" ht="15.75" customHeight="1">
      <c r="A162" s="3"/>
      <c r="B162" s="3"/>
      <c r="C162" s="3"/>
      <c r="D162" s="3"/>
      <c r="E162" s="3"/>
      <c r="F162" s="104"/>
      <c r="G162" s="104"/>
      <c r="H162" s="104"/>
      <c r="I162" s="104"/>
      <c r="J162" s="104"/>
      <c r="T162" s="3"/>
      <c r="U162" s="3"/>
      <c r="V162" s="3"/>
      <c r="W162" s="3"/>
      <c r="X162" s="3"/>
      <c r="Y162" s="3"/>
    </row>
    <row r="163" spans="1:25" ht="15.75" customHeight="1">
      <c r="A163" s="3"/>
      <c r="B163" s="3"/>
      <c r="C163" s="3"/>
      <c r="D163" s="3"/>
      <c r="E163" s="3"/>
      <c r="F163" s="104"/>
      <c r="G163" s="104"/>
      <c r="H163" s="104"/>
      <c r="I163" s="104"/>
      <c r="J163" s="104"/>
      <c r="T163" s="3"/>
      <c r="U163" s="3"/>
      <c r="V163" s="3"/>
      <c r="W163" s="3"/>
      <c r="X163" s="3"/>
      <c r="Y163" s="3"/>
    </row>
    <row r="164" spans="1:25" ht="15.75" customHeight="1">
      <c r="A164" s="3"/>
      <c r="B164" s="3"/>
      <c r="C164" s="3"/>
      <c r="D164" s="3"/>
      <c r="E164" s="3"/>
      <c r="F164" s="104"/>
      <c r="G164" s="104"/>
      <c r="H164" s="104"/>
      <c r="I164" s="104"/>
      <c r="J164" s="104"/>
      <c r="T164" s="3"/>
      <c r="U164" s="3"/>
      <c r="V164" s="3"/>
      <c r="W164" s="3"/>
      <c r="X164" s="3"/>
      <c r="Y164" s="3"/>
    </row>
    <row r="165" spans="1:25" ht="15.75" customHeight="1">
      <c r="A165" s="3"/>
      <c r="B165" s="3"/>
      <c r="C165" s="3"/>
      <c r="D165" s="3"/>
      <c r="E165" s="3"/>
      <c r="F165" s="104"/>
      <c r="G165" s="104"/>
      <c r="H165" s="104"/>
      <c r="I165" s="104"/>
      <c r="J165" s="104"/>
      <c r="T165" s="3"/>
      <c r="U165" s="3"/>
      <c r="V165" s="3"/>
      <c r="W165" s="3"/>
      <c r="X165" s="3"/>
      <c r="Y165" s="3"/>
    </row>
    <row r="166" spans="1:25" ht="15.75" customHeight="1">
      <c r="A166" s="3"/>
      <c r="B166" s="3"/>
      <c r="C166" s="3"/>
      <c r="D166" s="3"/>
      <c r="E166" s="3"/>
      <c r="F166" s="104"/>
      <c r="G166" s="104"/>
      <c r="H166" s="104"/>
      <c r="I166" s="104"/>
      <c r="J166" s="104"/>
      <c r="T166" s="3"/>
      <c r="U166" s="3"/>
      <c r="V166" s="3"/>
      <c r="W166" s="3"/>
      <c r="X166" s="3"/>
      <c r="Y166" s="3"/>
    </row>
    <row r="167" spans="1:25" ht="15.75" customHeight="1">
      <c r="A167" s="3"/>
      <c r="B167" s="3"/>
      <c r="C167" s="3"/>
      <c r="D167" s="3"/>
      <c r="E167" s="3"/>
      <c r="F167" s="104"/>
      <c r="G167" s="104"/>
      <c r="H167" s="104"/>
      <c r="I167" s="104"/>
      <c r="J167" s="104"/>
      <c r="T167" s="3"/>
      <c r="U167" s="3"/>
      <c r="V167" s="3"/>
      <c r="W167" s="3"/>
      <c r="X167" s="3"/>
      <c r="Y167" s="3"/>
    </row>
    <row r="168" spans="1:25" ht="15.75" customHeight="1">
      <c r="A168" s="3"/>
      <c r="B168" s="3"/>
      <c r="C168" s="3"/>
      <c r="D168" s="3"/>
      <c r="E168" s="3"/>
      <c r="F168" s="104"/>
      <c r="G168" s="104"/>
      <c r="H168" s="104"/>
      <c r="I168" s="104"/>
      <c r="J168" s="104"/>
      <c r="T168" s="3"/>
      <c r="U168" s="3"/>
      <c r="V168" s="3"/>
      <c r="W168" s="3"/>
      <c r="X168" s="3"/>
      <c r="Y168" s="3"/>
    </row>
    <row r="169" spans="1:25" ht="15.75" customHeight="1">
      <c r="A169" s="3"/>
      <c r="B169" s="3"/>
      <c r="C169" s="3"/>
      <c r="D169" s="3"/>
      <c r="E169" s="3"/>
      <c r="F169" s="104"/>
      <c r="G169" s="104"/>
      <c r="H169" s="104"/>
      <c r="I169" s="104"/>
      <c r="J169" s="104"/>
      <c r="T169" s="3"/>
      <c r="U169" s="3"/>
      <c r="V169" s="3"/>
      <c r="W169" s="3"/>
      <c r="X169" s="3"/>
      <c r="Y169" s="3"/>
    </row>
    <row r="170" spans="1:25" ht="15.75" customHeight="1">
      <c r="A170" s="3"/>
      <c r="B170" s="3"/>
      <c r="C170" s="3"/>
      <c r="D170" s="3"/>
      <c r="E170" s="3"/>
      <c r="F170" s="104"/>
      <c r="G170" s="104"/>
      <c r="H170" s="104"/>
      <c r="I170" s="104"/>
      <c r="J170" s="104"/>
      <c r="T170" s="3"/>
      <c r="U170" s="3"/>
      <c r="V170" s="3"/>
      <c r="W170" s="3"/>
      <c r="X170" s="3"/>
      <c r="Y170" s="3"/>
    </row>
    <row r="171" spans="1:25" ht="15.75" customHeight="1">
      <c r="A171" s="3"/>
      <c r="B171" s="3"/>
      <c r="C171" s="3"/>
      <c r="D171" s="3"/>
      <c r="E171" s="3"/>
      <c r="F171" s="104"/>
      <c r="G171" s="104"/>
      <c r="H171" s="104"/>
      <c r="I171" s="104"/>
      <c r="J171" s="104"/>
      <c r="T171" s="3"/>
      <c r="U171" s="3"/>
      <c r="V171" s="3"/>
      <c r="W171" s="3"/>
      <c r="X171" s="3"/>
      <c r="Y171" s="3"/>
    </row>
    <row r="172" spans="1:25" ht="15.75" customHeight="1">
      <c r="A172" s="3"/>
      <c r="B172" s="3"/>
      <c r="C172" s="3"/>
      <c r="D172" s="3"/>
      <c r="E172" s="3"/>
      <c r="F172" s="104"/>
      <c r="G172" s="104"/>
      <c r="H172" s="104"/>
      <c r="I172" s="104"/>
      <c r="J172" s="104"/>
      <c r="T172" s="3"/>
      <c r="U172" s="3"/>
      <c r="V172" s="3"/>
      <c r="W172" s="3"/>
      <c r="X172" s="3"/>
      <c r="Y172" s="3"/>
    </row>
    <row r="173" spans="1:25" ht="15.75" customHeight="1">
      <c r="A173" s="3"/>
      <c r="B173" s="3"/>
      <c r="C173" s="3"/>
      <c r="D173" s="3"/>
      <c r="E173" s="3"/>
      <c r="F173" s="104"/>
      <c r="G173" s="104"/>
      <c r="H173" s="104"/>
      <c r="I173" s="104"/>
      <c r="J173" s="104"/>
      <c r="T173" s="3"/>
      <c r="U173" s="3"/>
      <c r="V173" s="3"/>
      <c r="W173" s="3"/>
      <c r="X173" s="3"/>
      <c r="Y173" s="3"/>
    </row>
    <row r="174" spans="1:25" ht="15.75" customHeight="1">
      <c r="A174" s="3"/>
      <c r="B174" s="3"/>
      <c r="C174" s="3"/>
      <c r="D174" s="3"/>
      <c r="E174" s="3"/>
      <c r="F174" s="104"/>
      <c r="G174" s="104"/>
      <c r="H174" s="104"/>
      <c r="I174" s="104"/>
      <c r="J174" s="104"/>
      <c r="T174" s="3"/>
      <c r="U174" s="3"/>
      <c r="V174" s="3"/>
      <c r="W174" s="3"/>
      <c r="X174" s="3"/>
      <c r="Y174" s="3"/>
    </row>
    <row r="175" spans="1:25" ht="15.75" customHeight="1">
      <c r="A175" s="3"/>
      <c r="B175" s="3"/>
      <c r="C175" s="3"/>
      <c r="D175" s="3"/>
      <c r="E175" s="3"/>
      <c r="F175" s="104"/>
      <c r="G175" s="104"/>
      <c r="H175" s="104"/>
      <c r="I175" s="104"/>
      <c r="J175" s="104"/>
      <c r="T175" s="3"/>
      <c r="U175" s="3"/>
      <c r="V175" s="3"/>
      <c r="W175" s="3"/>
      <c r="X175" s="3"/>
      <c r="Y175" s="3"/>
    </row>
    <row r="176" spans="1:25" ht="15.75" customHeight="1">
      <c r="A176" s="3"/>
      <c r="B176" s="3"/>
      <c r="C176" s="3"/>
      <c r="D176" s="3"/>
      <c r="E176" s="3"/>
      <c r="F176" s="104"/>
      <c r="G176" s="104"/>
      <c r="H176" s="104"/>
      <c r="I176" s="104"/>
      <c r="J176" s="104"/>
      <c r="T176" s="3"/>
      <c r="U176" s="3"/>
      <c r="V176" s="3"/>
      <c r="W176" s="3"/>
      <c r="X176" s="3"/>
      <c r="Y176" s="3"/>
    </row>
    <row r="177" spans="1:25" ht="15.75" customHeight="1">
      <c r="A177" s="3"/>
      <c r="B177" s="3"/>
      <c r="C177" s="3"/>
      <c r="D177" s="3"/>
      <c r="E177" s="3"/>
      <c r="F177" s="104"/>
      <c r="G177" s="104"/>
      <c r="H177" s="104"/>
      <c r="I177" s="104"/>
      <c r="J177" s="104"/>
      <c r="T177" s="3"/>
      <c r="U177" s="3"/>
      <c r="V177" s="3"/>
      <c r="W177" s="3"/>
      <c r="X177" s="3"/>
      <c r="Y177" s="3"/>
    </row>
    <row r="178" spans="1:25" ht="15.75" customHeight="1">
      <c r="A178" s="3"/>
      <c r="B178" s="3"/>
      <c r="C178" s="3"/>
      <c r="D178" s="3"/>
      <c r="E178" s="3"/>
      <c r="F178" s="104"/>
      <c r="G178" s="104"/>
      <c r="H178" s="104"/>
      <c r="I178" s="104"/>
      <c r="J178" s="104"/>
      <c r="T178" s="3"/>
      <c r="U178" s="3"/>
      <c r="V178" s="3"/>
      <c r="W178" s="3"/>
      <c r="X178" s="3"/>
      <c r="Y178" s="3"/>
    </row>
    <row r="179" spans="1:25" ht="15.75" customHeight="1">
      <c r="A179" s="3"/>
      <c r="B179" s="3"/>
      <c r="C179" s="3"/>
      <c r="D179" s="3"/>
      <c r="E179" s="3"/>
      <c r="F179" s="104"/>
      <c r="G179" s="104"/>
      <c r="H179" s="104"/>
      <c r="I179" s="104"/>
      <c r="J179" s="104"/>
      <c r="T179" s="3"/>
      <c r="U179" s="3"/>
      <c r="V179" s="3"/>
      <c r="W179" s="3"/>
      <c r="X179" s="3"/>
      <c r="Y179" s="3"/>
    </row>
    <row r="180" spans="1:25" ht="15.75" customHeight="1">
      <c r="A180" s="3"/>
      <c r="B180" s="3"/>
      <c r="C180" s="3"/>
      <c r="D180" s="3"/>
      <c r="E180" s="3"/>
      <c r="F180" s="104"/>
      <c r="G180" s="104"/>
      <c r="H180" s="104"/>
      <c r="I180" s="104"/>
      <c r="J180" s="104"/>
      <c r="T180" s="3"/>
      <c r="U180" s="3"/>
      <c r="V180" s="3"/>
      <c r="W180" s="3"/>
      <c r="X180" s="3"/>
      <c r="Y180" s="3"/>
    </row>
    <row r="181" spans="1:25" ht="15.75" customHeight="1">
      <c r="A181" s="3"/>
      <c r="B181" s="3"/>
      <c r="C181" s="3"/>
      <c r="D181" s="3"/>
      <c r="E181" s="3"/>
      <c r="F181" s="104"/>
      <c r="G181" s="104"/>
      <c r="H181" s="104"/>
      <c r="I181" s="104"/>
      <c r="J181" s="104"/>
      <c r="T181" s="3"/>
      <c r="U181" s="3"/>
      <c r="V181" s="3"/>
      <c r="W181" s="3"/>
      <c r="X181" s="3"/>
      <c r="Y181" s="3"/>
    </row>
    <row r="182" spans="1:25" ht="15.75" customHeight="1">
      <c r="A182" s="3"/>
      <c r="B182" s="3"/>
      <c r="C182" s="3"/>
      <c r="D182" s="3"/>
      <c r="E182" s="3"/>
      <c r="F182" s="104"/>
      <c r="G182" s="104"/>
      <c r="H182" s="104"/>
      <c r="I182" s="104"/>
      <c r="J182" s="104"/>
      <c r="T182" s="3"/>
      <c r="U182" s="3"/>
      <c r="V182" s="3"/>
      <c r="W182" s="3"/>
      <c r="X182" s="3"/>
      <c r="Y182" s="3"/>
    </row>
    <row r="183" spans="1:25" ht="15.75" customHeight="1">
      <c r="A183" s="3"/>
      <c r="B183" s="3"/>
      <c r="C183" s="3"/>
      <c r="D183" s="3"/>
      <c r="E183" s="3"/>
      <c r="F183" s="104"/>
      <c r="G183" s="104"/>
      <c r="H183" s="104"/>
      <c r="I183" s="104"/>
      <c r="J183" s="104"/>
      <c r="T183" s="3"/>
      <c r="U183" s="3"/>
      <c r="V183" s="3"/>
      <c r="W183" s="3"/>
      <c r="X183" s="3"/>
      <c r="Y183" s="3"/>
    </row>
    <row r="184" spans="1:25" ht="15.75" customHeight="1">
      <c r="A184" s="3"/>
      <c r="B184" s="3"/>
      <c r="C184" s="3"/>
      <c r="D184" s="3"/>
      <c r="E184" s="3"/>
      <c r="F184" s="104"/>
      <c r="G184" s="104"/>
      <c r="H184" s="104"/>
      <c r="I184" s="104"/>
      <c r="J184" s="104"/>
      <c r="T184" s="3"/>
      <c r="U184" s="3"/>
      <c r="V184" s="3"/>
      <c r="W184" s="3"/>
      <c r="X184" s="3"/>
      <c r="Y184" s="3"/>
    </row>
    <row r="185" spans="1:25" ht="15.75" customHeight="1">
      <c r="A185" s="3"/>
      <c r="B185" s="3"/>
      <c r="C185" s="3"/>
      <c r="D185" s="3"/>
      <c r="E185" s="3"/>
      <c r="F185" s="104"/>
      <c r="G185" s="104"/>
      <c r="H185" s="104"/>
      <c r="I185" s="104"/>
      <c r="J185" s="104"/>
      <c r="T185" s="3"/>
      <c r="U185" s="3"/>
      <c r="V185" s="3"/>
      <c r="W185" s="3"/>
      <c r="X185" s="3"/>
      <c r="Y185" s="3"/>
    </row>
    <row r="186" spans="1:25" ht="15.75" customHeight="1">
      <c r="A186" s="3"/>
      <c r="B186" s="3"/>
      <c r="C186" s="3"/>
      <c r="D186" s="3"/>
      <c r="E186" s="3"/>
      <c r="F186" s="104"/>
      <c r="G186" s="104"/>
      <c r="H186" s="104"/>
      <c r="I186" s="104"/>
      <c r="J186" s="104"/>
      <c r="T186" s="3"/>
      <c r="U186" s="3"/>
      <c r="V186" s="3"/>
      <c r="W186" s="3"/>
      <c r="X186" s="3"/>
      <c r="Y186" s="3"/>
    </row>
    <row r="187" spans="1:25" ht="15.75" customHeight="1">
      <c r="A187" s="3"/>
      <c r="B187" s="3"/>
      <c r="C187" s="3"/>
      <c r="D187" s="3"/>
      <c r="E187" s="3"/>
      <c r="F187" s="104"/>
      <c r="G187" s="104"/>
      <c r="H187" s="104"/>
      <c r="I187" s="104"/>
      <c r="J187" s="104"/>
      <c r="T187" s="3"/>
      <c r="U187" s="3"/>
      <c r="V187" s="3"/>
      <c r="W187" s="3"/>
      <c r="X187" s="3"/>
      <c r="Y187" s="3"/>
    </row>
    <row r="188" spans="1:25" ht="15.75" customHeight="1">
      <c r="A188" s="3"/>
      <c r="B188" s="3"/>
      <c r="C188" s="3"/>
      <c r="D188" s="3"/>
      <c r="E188" s="3"/>
      <c r="F188" s="104"/>
      <c r="G188" s="104"/>
      <c r="H188" s="104"/>
      <c r="I188" s="104"/>
      <c r="J188" s="104"/>
      <c r="T188" s="3"/>
      <c r="U188" s="3"/>
      <c r="V188" s="3"/>
      <c r="W188" s="3"/>
      <c r="X188" s="3"/>
      <c r="Y188" s="3"/>
    </row>
    <row r="189" spans="1:25" ht="15.75" customHeight="1">
      <c r="A189" s="3"/>
      <c r="B189" s="3"/>
      <c r="C189" s="3"/>
      <c r="D189" s="3"/>
      <c r="E189" s="3"/>
      <c r="F189" s="104"/>
      <c r="G189" s="104"/>
      <c r="H189" s="104"/>
      <c r="I189" s="104"/>
      <c r="J189" s="104"/>
      <c r="T189" s="3"/>
      <c r="U189" s="3"/>
      <c r="V189" s="3"/>
      <c r="W189" s="3"/>
      <c r="X189" s="3"/>
      <c r="Y189" s="3"/>
    </row>
    <row r="190" spans="1:25" ht="15.75" customHeight="1">
      <c r="A190" s="3"/>
      <c r="B190" s="3"/>
      <c r="C190" s="3"/>
      <c r="D190" s="3"/>
      <c r="E190" s="3"/>
      <c r="F190" s="104"/>
      <c r="G190" s="104"/>
      <c r="H190" s="104"/>
      <c r="I190" s="104"/>
      <c r="J190" s="104"/>
      <c r="T190" s="3"/>
      <c r="U190" s="3"/>
      <c r="V190" s="3"/>
      <c r="W190" s="3"/>
      <c r="X190" s="3"/>
      <c r="Y190" s="3"/>
    </row>
    <row r="191" spans="1:25" ht="15.75" customHeight="1">
      <c r="A191" s="3"/>
      <c r="B191" s="3"/>
      <c r="C191" s="3"/>
      <c r="D191" s="3"/>
      <c r="E191" s="3"/>
      <c r="F191" s="104"/>
      <c r="G191" s="104"/>
      <c r="H191" s="104"/>
      <c r="I191" s="104"/>
      <c r="J191" s="104"/>
      <c r="T191" s="3"/>
      <c r="U191" s="3"/>
      <c r="V191" s="3"/>
      <c r="W191" s="3"/>
      <c r="X191" s="3"/>
      <c r="Y191" s="3"/>
    </row>
    <row r="192" spans="1:25" ht="15.75" customHeight="1">
      <c r="A192" s="3"/>
      <c r="B192" s="3"/>
      <c r="C192" s="3"/>
      <c r="D192" s="3"/>
      <c r="E192" s="3"/>
      <c r="F192" s="104"/>
      <c r="G192" s="104"/>
      <c r="H192" s="104"/>
      <c r="I192" s="104"/>
      <c r="J192" s="104"/>
      <c r="T192" s="3"/>
      <c r="U192" s="3"/>
      <c r="V192" s="3"/>
      <c r="W192" s="3"/>
      <c r="X192" s="3"/>
      <c r="Y192" s="3"/>
    </row>
    <row r="193" spans="1:25" ht="15.75" customHeight="1">
      <c r="A193" s="3"/>
      <c r="B193" s="3"/>
      <c r="C193" s="3"/>
      <c r="D193" s="3"/>
      <c r="E193" s="3"/>
      <c r="F193" s="104"/>
      <c r="G193" s="104"/>
      <c r="H193" s="104"/>
      <c r="I193" s="104"/>
      <c r="J193" s="104"/>
      <c r="T193" s="3"/>
      <c r="U193" s="3"/>
      <c r="V193" s="3"/>
      <c r="W193" s="3"/>
      <c r="X193" s="3"/>
      <c r="Y193" s="3"/>
    </row>
    <row r="194" spans="1:25" ht="15.75" customHeight="1">
      <c r="A194" s="3"/>
      <c r="B194" s="3"/>
      <c r="C194" s="3"/>
      <c r="D194" s="3"/>
      <c r="E194" s="3"/>
      <c r="F194" s="104"/>
      <c r="G194" s="104"/>
      <c r="H194" s="104"/>
      <c r="I194" s="104"/>
      <c r="J194" s="104"/>
      <c r="T194" s="3"/>
      <c r="U194" s="3"/>
      <c r="V194" s="3"/>
      <c r="W194" s="3"/>
      <c r="X194" s="3"/>
      <c r="Y194" s="3"/>
    </row>
    <row r="195" spans="1:25" ht="15.75" customHeight="1">
      <c r="A195" s="3"/>
      <c r="B195" s="3"/>
      <c r="C195" s="3"/>
      <c r="D195" s="3"/>
      <c r="E195" s="3"/>
      <c r="F195" s="104"/>
      <c r="G195" s="104"/>
      <c r="H195" s="104"/>
      <c r="I195" s="104"/>
      <c r="J195" s="104"/>
      <c r="T195" s="3"/>
      <c r="U195" s="3"/>
      <c r="V195" s="3"/>
      <c r="W195" s="3"/>
      <c r="X195" s="3"/>
      <c r="Y195" s="3"/>
    </row>
    <row r="196" spans="1:25" ht="15.75" customHeight="1">
      <c r="A196" s="3"/>
      <c r="B196" s="3"/>
      <c r="C196" s="3"/>
      <c r="D196" s="3"/>
      <c r="E196" s="3"/>
      <c r="F196" s="104"/>
      <c r="G196" s="104"/>
      <c r="H196" s="104"/>
      <c r="I196" s="104"/>
      <c r="J196" s="104"/>
      <c r="T196" s="3"/>
      <c r="U196" s="3"/>
      <c r="V196" s="3"/>
      <c r="W196" s="3"/>
      <c r="X196" s="3"/>
      <c r="Y196" s="3"/>
    </row>
    <row r="197" spans="1:25" ht="15.75" customHeight="1">
      <c r="A197" s="3"/>
      <c r="B197" s="3"/>
      <c r="C197" s="3"/>
      <c r="D197" s="3"/>
      <c r="E197" s="3"/>
      <c r="F197" s="104"/>
      <c r="G197" s="104"/>
      <c r="H197" s="104"/>
      <c r="I197" s="104"/>
      <c r="J197" s="104"/>
      <c r="T197" s="3"/>
      <c r="U197" s="3"/>
      <c r="V197" s="3"/>
      <c r="W197" s="3"/>
      <c r="X197" s="3"/>
      <c r="Y197" s="3"/>
    </row>
    <row r="198" spans="1:25" ht="15.75" customHeight="1">
      <c r="A198" s="3"/>
      <c r="B198" s="3"/>
      <c r="C198" s="3"/>
      <c r="D198" s="3"/>
      <c r="E198" s="3"/>
      <c r="F198" s="104"/>
      <c r="G198" s="104"/>
      <c r="H198" s="104"/>
      <c r="I198" s="104"/>
      <c r="J198" s="104"/>
      <c r="T198" s="3"/>
      <c r="U198" s="3"/>
      <c r="V198" s="3"/>
      <c r="W198" s="3"/>
      <c r="X198" s="3"/>
      <c r="Y198" s="3"/>
    </row>
    <row r="199" spans="1:25" ht="15.75" customHeight="1">
      <c r="A199" s="3"/>
      <c r="B199" s="3"/>
      <c r="C199" s="3"/>
      <c r="D199" s="3"/>
      <c r="E199" s="3"/>
      <c r="F199" s="104"/>
      <c r="G199" s="104"/>
      <c r="H199" s="104"/>
      <c r="I199" s="104"/>
      <c r="J199" s="104"/>
      <c r="T199" s="3"/>
      <c r="U199" s="3"/>
      <c r="V199" s="3"/>
      <c r="W199" s="3"/>
      <c r="X199" s="3"/>
      <c r="Y199" s="3"/>
    </row>
    <row r="200" spans="1:25" ht="15.75" customHeight="1">
      <c r="A200" s="3"/>
      <c r="B200" s="3"/>
      <c r="C200" s="3"/>
      <c r="D200" s="3"/>
      <c r="E200" s="3"/>
      <c r="F200" s="104"/>
      <c r="G200" s="104"/>
      <c r="H200" s="104"/>
      <c r="I200" s="104"/>
      <c r="J200" s="104"/>
      <c r="T200" s="3"/>
      <c r="U200" s="3"/>
      <c r="V200" s="3"/>
      <c r="W200" s="3"/>
      <c r="X200" s="3"/>
      <c r="Y200" s="3"/>
    </row>
    <row r="201" spans="1:25" ht="15.75" customHeight="1">
      <c r="A201" s="3"/>
      <c r="B201" s="3"/>
      <c r="C201" s="3"/>
      <c r="D201" s="3"/>
      <c r="E201" s="3"/>
      <c r="F201" s="104"/>
      <c r="G201" s="104"/>
      <c r="H201" s="104"/>
      <c r="I201" s="104"/>
      <c r="J201" s="104"/>
      <c r="T201" s="3"/>
      <c r="U201" s="3"/>
      <c r="V201" s="3"/>
      <c r="W201" s="3"/>
      <c r="X201" s="3"/>
      <c r="Y201" s="3"/>
    </row>
    <row r="202" spans="1:25" ht="15.75" customHeight="1">
      <c r="A202" s="3"/>
      <c r="B202" s="3"/>
      <c r="C202" s="3"/>
      <c r="D202" s="3"/>
      <c r="E202" s="3"/>
      <c r="F202" s="104"/>
      <c r="G202" s="104"/>
      <c r="H202" s="104"/>
      <c r="I202" s="104"/>
      <c r="J202" s="104"/>
      <c r="T202" s="3"/>
      <c r="U202" s="3"/>
      <c r="V202" s="3"/>
      <c r="W202" s="3"/>
      <c r="X202" s="3"/>
      <c r="Y202" s="3"/>
    </row>
    <row r="203" spans="1:25" ht="15.75" customHeight="1">
      <c r="A203" s="3"/>
      <c r="B203" s="3"/>
      <c r="C203" s="3"/>
      <c r="D203" s="3"/>
      <c r="E203" s="3"/>
      <c r="F203" s="104"/>
      <c r="G203" s="104"/>
      <c r="H203" s="104"/>
      <c r="I203" s="104"/>
      <c r="J203" s="104"/>
      <c r="T203" s="3"/>
      <c r="U203" s="3"/>
      <c r="V203" s="3"/>
      <c r="W203" s="3"/>
      <c r="X203" s="3"/>
      <c r="Y203" s="3"/>
    </row>
    <row r="204" spans="1:25" ht="15.75" customHeight="1">
      <c r="A204" s="3"/>
      <c r="B204" s="3"/>
      <c r="C204" s="3"/>
      <c r="D204" s="3"/>
      <c r="E204" s="3"/>
      <c r="F204" s="104"/>
      <c r="G204" s="104"/>
      <c r="H204" s="104"/>
      <c r="I204" s="104"/>
      <c r="J204" s="104"/>
      <c r="T204" s="3"/>
      <c r="U204" s="3"/>
      <c r="V204" s="3"/>
      <c r="W204" s="3"/>
      <c r="X204" s="3"/>
      <c r="Y204" s="3"/>
    </row>
    <row r="205" spans="1:25" ht="15.75" customHeight="1">
      <c r="A205" s="3"/>
      <c r="B205" s="3"/>
      <c r="C205" s="3"/>
      <c r="D205" s="3"/>
      <c r="E205" s="3"/>
      <c r="F205" s="104"/>
      <c r="G205" s="104"/>
      <c r="H205" s="104"/>
      <c r="I205" s="104"/>
      <c r="J205" s="104"/>
      <c r="T205" s="3"/>
      <c r="U205" s="3"/>
      <c r="V205" s="3"/>
      <c r="W205" s="3"/>
      <c r="X205" s="3"/>
      <c r="Y205" s="3"/>
    </row>
    <row r="206" spans="1:25" ht="15.75" customHeight="1">
      <c r="A206" s="3"/>
      <c r="B206" s="3"/>
      <c r="C206" s="3"/>
      <c r="D206" s="3"/>
      <c r="E206" s="3"/>
      <c r="F206" s="104"/>
      <c r="G206" s="104"/>
      <c r="H206" s="104"/>
      <c r="I206" s="104"/>
      <c r="J206" s="104"/>
      <c r="T206" s="3"/>
      <c r="U206" s="3"/>
      <c r="V206" s="3"/>
      <c r="W206" s="3"/>
      <c r="X206" s="3"/>
      <c r="Y206" s="3"/>
    </row>
    <row r="207" spans="1:25" ht="15.75" customHeight="1">
      <c r="A207" s="3"/>
      <c r="B207" s="3"/>
      <c r="C207" s="3"/>
      <c r="D207" s="3"/>
      <c r="E207" s="3"/>
      <c r="F207" s="104"/>
      <c r="G207" s="104"/>
      <c r="H207" s="104"/>
      <c r="I207" s="104"/>
      <c r="J207" s="104"/>
      <c r="T207" s="3"/>
      <c r="U207" s="3"/>
      <c r="V207" s="3"/>
      <c r="W207" s="3"/>
      <c r="X207" s="3"/>
      <c r="Y207" s="3"/>
    </row>
    <row r="208" spans="1:25" ht="15.75" customHeight="1">
      <c r="A208" s="3"/>
      <c r="B208" s="3"/>
      <c r="C208" s="3"/>
      <c r="D208" s="3"/>
      <c r="E208" s="3"/>
      <c r="F208" s="104"/>
      <c r="G208" s="104"/>
      <c r="H208" s="104"/>
      <c r="I208" s="104"/>
      <c r="J208" s="104"/>
      <c r="T208" s="3"/>
      <c r="U208" s="3"/>
      <c r="V208" s="3"/>
      <c r="W208" s="3"/>
      <c r="X208" s="3"/>
      <c r="Y208" s="3"/>
    </row>
    <row r="209" spans="1:25" ht="15.75" customHeight="1">
      <c r="A209" s="3"/>
      <c r="B209" s="3"/>
      <c r="C209" s="3"/>
      <c r="D209" s="3"/>
      <c r="E209" s="3"/>
      <c r="F209" s="104"/>
      <c r="G209" s="104"/>
      <c r="H209" s="104"/>
      <c r="I209" s="104"/>
      <c r="J209" s="104"/>
      <c r="T209" s="3"/>
      <c r="U209" s="3"/>
      <c r="V209" s="3"/>
      <c r="W209" s="3"/>
      <c r="X209" s="3"/>
      <c r="Y209" s="3"/>
    </row>
    <row r="210" spans="1:25" ht="15.75" customHeight="1">
      <c r="A210" s="3"/>
      <c r="B210" s="3"/>
      <c r="C210" s="3"/>
      <c r="D210" s="3"/>
      <c r="E210" s="3"/>
      <c r="F210" s="104"/>
      <c r="G210" s="104"/>
      <c r="H210" s="104"/>
      <c r="I210" s="104"/>
      <c r="J210" s="104"/>
      <c r="T210" s="3"/>
      <c r="U210" s="3"/>
      <c r="V210" s="3"/>
      <c r="W210" s="3"/>
      <c r="X210" s="3"/>
      <c r="Y210" s="3"/>
    </row>
    <row r="211" spans="1:25" ht="15.75" customHeight="1">
      <c r="A211" s="3"/>
      <c r="B211" s="3"/>
      <c r="C211" s="3"/>
      <c r="D211" s="3"/>
      <c r="E211" s="3"/>
      <c r="F211" s="104"/>
      <c r="G211" s="104"/>
      <c r="H211" s="104"/>
      <c r="I211" s="104"/>
      <c r="J211" s="104"/>
      <c r="T211" s="3"/>
      <c r="U211" s="3"/>
      <c r="V211" s="3"/>
      <c r="W211" s="3"/>
      <c r="X211" s="3"/>
      <c r="Y211" s="3"/>
    </row>
    <row r="212" spans="1:25" ht="15.75" customHeight="1">
      <c r="A212" s="3"/>
      <c r="B212" s="3"/>
      <c r="C212" s="3"/>
      <c r="D212" s="3"/>
      <c r="E212" s="3"/>
      <c r="F212" s="104"/>
      <c r="G212" s="104"/>
      <c r="H212" s="104"/>
      <c r="I212" s="104"/>
      <c r="J212" s="104"/>
      <c r="T212" s="3"/>
      <c r="U212" s="3"/>
      <c r="V212" s="3"/>
      <c r="W212" s="3"/>
      <c r="X212" s="3"/>
      <c r="Y212" s="3"/>
    </row>
    <row r="213" spans="1:25" ht="15.75" customHeight="1">
      <c r="A213" s="3"/>
      <c r="B213" s="3"/>
      <c r="C213" s="3"/>
      <c r="D213" s="3"/>
      <c r="E213" s="3"/>
      <c r="F213" s="104"/>
      <c r="G213" s="104"/>
      <c r="H213" s="104"/>
      <c r="I213" s="104"/>
      <c r="J213" s="104"/>
      <c r="T213" s="3"/>
      <c r="U213" s="3"/>
      <c r="V213" s="3"/>
      <c r="W213" s="3"/>
      <c r="X213" s="3"/>
      <c r="Y213" s="3"/>
    </row>
    <row r="214" spans="1:25" ht="15.75" customHeight="1">
      <c r="A214" s="3"/>
      <c r="B214" s="3"/>
      <c r="C214" s="3"/>
      <c r="D214" s="3"/>
      <c r="E214" s="3"/>
      <c r="F214" s="104"/>
      <c r="G214" s="104"/>
      <c r="H214" s="104"/>
      <c r="I214" s="104"/>
      <c r="J214" s="104"/>
      <c r="T214" s="3"/>
      <c r="U214" s="3"/>
      <c r="V214" s="3"/>
      <c r="W214" s="3"/>
      <c r="X214" s="3"/>
      <c r="Y214" s="3"/>
    </row>
    <row r="215" spans="1:25" ht="15.75" customHeight="1">
      <c r="A215" s="3"/>
      <c r="B215" s="3"/>
      <c r="C215" s="3"/>
      <c r="D215" s="3"/>
      <c r="E215" s="3"/>
      <c r="F215" s="104"/>
      <c r="G215" s="104"/>
      <c r="H215" s="104"/>
      <c r="I215" s="104"/>
      <c r="J215" s="104"/>
      <c r="T215" s="3"/>
      <c r="U215" s="3"/>
      <c r="V215" s="3"/>
      <c r="W215" s="3"/>
      <c r="X215" s="3"/>
      <c r="Y215" s="3"/>
    </row>
    <row r="216" spans="1:25" ht="15.75" customHeight="1">
      <c r="A216" s="3"/>
      <c r="B216" s="3"/>
      <c r="C216" s="3"/>
      <c r="D216" s="3"/>
      <c r="E216" s="3"/>
      <c r="F216" s="104"/>
      <c r="G216" s="104"/>
      <c r="H216" s="104"/>
      <c r="I216" s="104"/>
      <c r="J216" s="104"/>
      <c r="T216" s="3"/>
      <c r="U216" s="3"/>
      <c r="V216" s="3"/>
      <c r="W216" s="3"/>
      <c r="X216" s="3"/>
      <c r="Y216" s="3"/>
    </row>
    <row r="217" spans="1:25" ht="15.75" customHeight="1">
      <c r="A217" s="3"/>
      <c r="B217" s="3"/>
      <c r="C217" s="3"/>
      <c r="D217" s="3"/>
      <c r="E217" s="3"/>
      <c r="F217" s="104"/>
      <c r="G217" s="104"/>
      <c r="H217" s="104"/>
      <c r="I217" s="104"/>
      <c r="J217" s="104"/>
      <c r="T217" s="3"/>
      <c r="U217" s="3"/>
      <c r="V217" s="3"/>
      <c r="W217" s="3"/>
      <c r="X217" s="3"/>
      <c r="Y217" s="3"/>
    </row>
    <row r="218" spans="1:25" ht="15.75" customHeight="1">
      <c r="A218" s="3"/>
      <c r="B218" s="3"/>
      <c r="C218" s="3"/>
      <c r="D218" s="3"/>
      <c r="E218" s="3"/>
      <c r="F218" s="104"/>
      <c r="G218" s="104"/>
      <c r="H218" s="104"/>
      <c r="I218" s="104"/>
      <c r="J218" s="104"/>
      <c r="T218" s="3"/>
      <c r="U218" s="3"/>
      <c r="V218" s="3"/>
      <c r="W218" s="3"/>
      <c r="X218" s="3"/>
      <c r="Y218" s="3"/>
    </row>
    <row r="219" spans="1:25" ht="15.75" customHeight="1">
      <c r="A219" s="3"/>
      <c r="B219" s="3"/>
      <c r="C219" s="3"/>
      <c r="D219" s="3"/>
      <c r="E219" s="3"/>
      <c r="F219" s="104"/>
      <c r="G219" s="104"/>
      <c r="H219" s="104"/>
      <c r="I219" s="104"/>
      <c r="J219" s="104"/>
      <c r="T219" s="3"/>
      <c r="U219" s="3"/>
      <c r="V219" s="3"/>
      <c r="W219" s="3"/>
      <c r="X219" s="3"/>
      <c r="Y219" s="3"/>
    </row>
    <row r="220" spans="1:25" ht="15.75" customHeight="1">
      <c r="A220" s="3"/>
      <c r="B220" s="3"/>
      <c r="C220" s="3"/>
      <c r="D220" s="3"/>
      <c r="E220" s="3"/>
      <c r="F220" s="104"/>
      <c r="G220" s="104"/>
      <c r="H220" s="104"/>
      <c r="I220" s="104"/>
      <c r="J220" s="104"/>
      <c r="T220" s="3"/>
      <c r="U220" s="3"/>
      <c r="V220" s="3"/>
      <c r="W220" s="3"/>
      <c r="X220" s="3"/>
      <c r="Y220" s="3"/>
    </row>
    <row r="221" spans="1:25" ht="15.75" customHeight="1">
      <c r="A221" s="3"/>
      <c r="B221" s="3"/>
      <c r="C221" s="3"/>
      <c r="D221" s="3"/>
      <c r="E221" s="3"/>
      <c r="F221" s="104"/>
      <c r="G221" s="104"/>
      <c r="H221" s="104"/>
      <c r="I221" s="104"/>
      <c r="J221" s="104"/>
      <c r="T221" s="3"/>
      <c r="U221" s="3"/>
      <c r="V221" s="3"/>
      <c r="W221" s="3"/>
      <c r="X221" s="3"/>
      <c r="Y221" s="3"/>
    </row>
    <row r="222" spans="1:25" ht="15.75" customHeight="1">
      <c r="A222" s="3"/>
      <c r="B222" s="3"/>
      <c r="C222" s="3"/>
      <c r="D222" s="3"/>
      <c r="E222" s="3"/>
      <c r="F222" s="104"/>
      <c r="G222" s="104"/>
      <c r="H222" s="104"/>
      <c r="I222" s="104"/>
      <c r="J222" s="104"/>
      <c r="T222" s="3"/>
      <c r="U222" s="3"/>
      <c r="V222" s="3"/>
      <c r="W222" s="3"/>
      <c r="X222" s="3"/>
      <c r="Y222" s="3"/>
    </row>
    <row r="223" spans="1:25" ht="15.75" customHeight="1">
      <c r="A223" s="3"/>
      <c r="B223" s="3"/>
      <c r="C223" s="3"/>
      <c r="D223" s="3"/>
      <c r="E223" s="3"/>
      <c r="F223" s="104"/>
      <c r="G223" s="104"/>
      <c r="H223" s="104"/>
      <c r="I223" s="104"/>
      <c r="J223" s="104"/>
      <c r="T223" s="3"/>
      <c r="U223" s="3"/>
      <c r="V223" s="3"/>
      <c r="W223" s="3"/>
      <c r="X223" s="3"/>
      <c r="Y223" s="3"/>
    </row>
    <row r="224" spans="1:25" ht="15.75" customHeight="1">
      <c r="A224" s="3"/>
      <c r="B224" s="3"/>
      <c r="C224" s="3"/>
      <c r="D224" s="3"/>
      <c r="E224" s="3"/>
      <c r="F224" s="104"/>
      <c r="G224" s="104"/>
      <c r="H224" s="104"/>
      <c r="I224" s="104"/>
      <c r="J224" s="104"/>
      <c r="T224" s="3"/>
      <c r="U224" s="3"/>
      <c r="V224" s="3"/>
      <c r="W224" s="3"/>
      <c r="X224" s="3"/>
      <c r="Y224" s="3"/>
    </row>
    <row r="225" spans="1:25" ht="15.75" customHeight="1">
      <c r="A225" s="3"/>
      <c r="B225" s="3"/>
      <c r="C225" s="3"/>
      <c r="D225" s="3"/>
      <c r="E225" s="3"/>
      <c r="F225" s="104"/>
      <c r="G225" s="104"/>
      <c r="H225" s="104"/>
      <c r="I225" s="104"/>
      <c r="J225" s="104"/>
      <c r="T225" s="3"/>
      <c r="U225" s="3"/>
      <c r="V225" s="3"/>
      <c r="W225" s="3"/>
      <c r="X225" s="3"/>
      <c r="Y225" s="3"/>
    </row>
    <row r="226" spans="1:25" ht="15.75" customHeight="1">
      <c r="A226" s="3"/>
      <c r="B226" s="3"/>
      <c r="C226" s="3"/>
      <c r="D226" s="3"/>
      <c r="E226" s="3"/>
      <c r="F226" s="104"/>
      <c r="G226" s="104"/>
      <c r="H226" s="104"/>
      <c r="I226" s="104"/>
      <c r="J226" s="104"/>
      <c r="T226" s="3"/>
      <c r="U226" s="3"/>
      <c r="V226" s="3"/>
      <c r="W226" s="3"/>
      <c r="X226" s="3"/>
      <c r="Y226" s="3"/>
    </row>
    <row r="227" spans="1:25" ht="15.75" customHeight="1">
      <c r="A227" s="3"/>
      <c r="B227" s="3"/>
      <c r="C227" s="3"/>
      <c r="D227" s="3"/>
      <c r="E227" s="3"/>
      <c r="F227" s="104"/>
      <c r="G227" s="104"/>
      <c r="H227" s="104"/>
      <c r="I227" s="104"/>
      <c r="J227" s="104"/>
      <c r="T227" s="3"/>
      <c r="U227" s="3"/>
      <c r="V227" s="3"/>
      <c r="W227" s="3"/>
      <c r="X227" s="3"/>
      <c r="Y227" s="3"/>
    </row>
    <row r="228" spans="1:25" ht="15.75" customHeight="1">
      <c r="A228" s="3"/>
      <c r="B228" s="3"/>
      <c r="C228" s="3"/>
      <c r="D228" s="3"/>
      <c r="E228" s="3"/>
      <c r="F228" s="104"/>
      <c r="G228" s="104"/>
      <c r="H228" s="104"/>
      <c r="I228" s="104"/>
      <c r="J228" s="104"/>
      <c r="T228" s="3"/>
      <c r="U228" s="3"/>
      <c r="V228" s="3"/>
      <c r="W228" s="3"/>
      <c r="X228" s="3"/>
      <c r="Y228" s="3"/>
    </row>
    <row r="229" spans="1:25" ht="15.75" customHeight="1">
      <c r="A229" s="3"/>
      <c r="B229" s="3"/>
      <c r="C229" s="3"/>
      <c r="D229" s="3"/>
      <c r="E229" s="3"/>
      <c r="F229" s="104"/>
      <c r="G229" s="104"/>
      <c r="H229" s="104"/>
      <c r="I229" s="104"/>
      <c r="J229" s="104"/>
      <c r="T229" s="3"/>
      <c r="U229" s="3"/>
      <c r="V229" s="3"/>
      <c r="W229" s="3"/>
      <c r="X229" s="3"/>
      <c r="Y229" s="3"/>
    </row>
    <row r="230" spans="1:25" ht="15.75" customHeight="1">
      <c r="A230" s="3"/>
      <c r="B230" s="3"/>
      <c r="C230" s="3"/>
      <c r="D230" s="3"/>
      <c r="E230" s="3"/>
      <c r="F230" s="104"/>
      <c r="G230" s="104"/>
      <c r="H230" s="104"/>
      <c r="I230" s="104"/>
      <c r="J230" s="104"/>
      <c r="T230" s="3"/>
      <c r="U230" s="3"/>
      <c r="V230" s="3"/>
      <c r="W230" s="3"/>
      <c r="X230" s="3"/>
      <c r="Y230" s="3"/>
    </row>
    <row r="231" spans="1:25" ht="15.75" customHeight="1">
      <c r="A231" s="3"/>
      <c r="B231" s="3"/>
      <c r="C231" s="3"/>
      <c r="D231" s="3"/>
      <c r="E231" s="3"/>
      <c r="F231" s="104"/>
      <c r="G231" s="104"/>
      <c r="H231" s="104"/>
      <c r="I231" s="104"/>
      <c r="J231" s="104"/>
      <c r="T231" s="3"/>
      <c r="U231" s="3"/>
      <c r="V231" s="3"/>
      <c r="W231" s="3"/>
      <c r="X231" s="3"/>
      <c r="Y231" s="3"/>
    </row>
    <row r="232" spans="1:25" ht="15.75" customHeight="1">
      <c r="A232" s="3"/>
      <c r="B232" s="3"/>
      <c r="C232" s="3"/>
      <c r="D232" s="3"/>
      <c r="E232" s="3"/>
      <c r="F232" s="104"/>
      <c r="G232" s="104"/>
      <c r="H232" s="104"/>
      <c r="I232" s="104"/>
      <c r="J232" s="104"/>
      <c r="T232" s="3"/>
      <c r="U232" s="3"/>
      <c r="V232" s="3"/>
      <c r="W232" s="3"/>
      <c r="X232" s="3"/>
      <c r="Y232" s="3"/>
    </row>
    <row r="233" spans="1:25" ht="15.75" customHeight="1">
      <c r="A233" s="3"/>
      <c r="B233" s="3"/>
      <c r="C233" s="3"/>
      <c r="D233" s="3"/>
      <c r="E233" s="3"/>
      <c r="F233" s="104"/>
      <c r="G233" s="104"/>
      <c r="H233" s="104"/>
      <c r="I233" s="104"/>
      <c r="J233" s="104"/>
      <c r="T233" s="3"/>
      <c r="U233" s="3"/>
      <c r="V233" s="3"/>
      <c r="W233" s="3"/>
      <c r="X233" s="3"/>
      <c r="Y233" s="3"/>
    </row>
    <row r="234" spans="1:25" ht="15.75" customHeight="1">
      <c r="A234" s="3"/>
      <c r="B234" s="3"/>
      <c r="C234" s="3"/>
      <c r="D234" s="3"/>
      <c r="E234" s="3"/>
      <c r="F234" s="104"/>
      <c r="G234" s="104"/>
      <c r="H234" s="104"/>
      <c r="I234" s="104"/>
      <c r="J234" s="104"/>
      <c r="T234" s="3"/>
      <c r="U234" s="3"/>
      <c r="V234" s="3"/>
      <c r="W234" s="3"/>
      <c r="X234" s="3"/>
      <c r="Y234" s="3"/>
    </row>
    <row r="235" spans="1:25" ht="15.75" customHeight="1">
      <c r="A235" s="3"/>
      <c r="B235" s="3"/>
      <c r="C235" s="3"/>
      <c r="D235" s="3"/>
      <c r="E235" s="3"/>
      <c r="F235" s="104"/>
      <c r="G235" s="104"/>
      <c r="H235" s="104"/>
      <c r="I235" s="104"/>
      <c r="J235" s="104"/>
      <c r="T235" s="3"/>
      <c r="U235" s="3"/>
      <c r="V235" s="3"/>
      <c r="W235" s="3"/>
      <c r="X235" s="3"/>
      <c r="Y235" s="3"/>
    </row>
    <row r="236" spans="1:25" ht="15.75" customHeight="1">
      <c r="A236" s="3"/>
      <c r="B236" s="3"/>
      <c r="C236" s="3"/>
      <c r="D236" s="3"/>
      <c r="E236" s="3"/>
      <c r="F236" s="104"/>
      <c r="G236" s="104"/>
      <c r="H236" s="104"/>
      <c r="I236" s="104"/>
      <c r="J236" s="104"/>
      <c r="T236" s="3"/>
      <c r="U236" s="3"/>
      <c r="V236" s="3"/>
      <c r="W236" s="3"/>
      <c r="X236" s="3"/>
      <c r="Y236" s="3"/>
    </row>
    <row r="237" spans="1:25" ht="15.75" customHeight="1">
      <c r="A237" s="3"/>
      <c r="B237" s="3"/>
      <c r="C237" s="3"/>
      <c r="D237" s="3"/>
      <c r="E237" s="3"/>
      <c r="F237" s="104"/>
      <c r="G237" s="104"/>
      <c r="H237" s="104"/>
      <c r="I237" s="104"/>
      <c r="J237" s="104"/>
      <c r="T237" s="3"/>
      <c r="U237" s="3"/>
      <c r="V237" s="3"/>
      <c r="W237" s="3"/>
      <c r="X237" s="3"/>
      <c r="Y237" s="3"/>
    </row>
    <row r="238" spans="1:25" ht="15.75" customHeight="1">
      <c r="A238" s="3"/>
      <c r="B238" s="3"/>
      <c r="C238" s="3"/>
      <c r="D238" s="3"/>
      <c r="E238" s="3"/>
      <c r="F238" s="104"/>
      <c r="G238" s="104"/>
      <c r="H238" s="104"/>
      <c r="I238" s="104"/>
      <c r="J238" s="104"/>
      <c r="T238" s="3"/>
      <c r="U238" s="3"/>
      <c r="V238" s="3"/>
      <c r="W238" s="3"/>
      <c r="X238" s="3"/>
      <c r="Y238" s="3"/>
    </row>
    <row r="239" spans="1:25" ht="15.75" customHeight="1">
      <c r="A239" s="3"/>
      <c r="B239" s="3"/>
      <c r="C239" s="3"/>
      <c r="D239" s="3"/>
      <c r="E239" s="3"/>
      <c r="F239" s="104"/>
      <c r="G239" s="104"/>
      <c r="H239" s="104"/>
      <c r="I239" s="104"/>
      <c r="J239" s="104"/>
      <c r="T239" s="3"/>
      <c r="U239" s="3"/>
      <c r="V239" s="3"/>
      <c r="W239" s="3"/>
      <c r="X239" s="3"/>
      <c r="Y239" s="3"/>
    </row>
    <row r="240" spans="1:25" ht="15.75" customHeight="1">
      <c r="A240" s="3"/>
      <c r="B240" s="3"/>
      <c r="C240" s="3"/>
      <c r="D240" s="3"/>
      <c r="E240" s="3"/>
      <c r="F240" s="104"/>
      <c r="G240" s="104"/>
      <c r="H240" s="104"/>
      <c r="I240" s="104"/>
      <c r="J240" s="104"/>
      <c r="T240" s="3"/>
      <c r="U240" s="3"/>
      <c r="V240" s="3"/>
      <c r="W240" s="3"/>
      <c r="X240" s="3"/>
      <c r="Y240" s="3"/>
    </row>
    <row r="241" spans="1:25" ht="15.75" customHeight="1">
      <c r="A241" s="3"/>
      <c r="B241" s="3"/>
      <c r="C241" s="3"/>
      <c r="D241" s="3"/>
      <c r="E241" s="3"/>
      <c r="F241" s="104"/>
      <c r="G241" s="104"/>
      <c r="H241" s="104"/>
      <c r="I241" s="104"/>
      <c r="J241" s="104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104"/>
      <c r="G242" s="104"/>
      <c r="H242" s="104"/>
      <c r="I242" s="104"/>
      <c r="J242" s="104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104"/>
      <c r="G243" s="104"/>
      <c r="H243" s="104"/>
      <c r="I243" s="104"/>
      <c r="J243" s="104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104"/>
      <c r="G244" s="104"/>
      <c r="H244" s="104"/>
      <c r="I244" s="104"/>
      <c r="J244" s="104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104"/>
      <c r="G245" s="104"/>
      <c r="H245" s="104"/>
      <c r="I245" s="104"/>
      <c r="J245" s="104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104"/>
      <c r="G246" s="104"/>
      <c r="H246" s="104"/>
      <c r="I246" s="104"/>
      <c r="J246" s="104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104"/>
      <c r="G247" s="104"/>
      <c r="H247" s="104"/>
      <c r="I247" s="104"/>
      <c r="J247" s="104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104"/>
      <c r="G248" s="104"/>
      <c r="H248" s="104"/>
      <c r="I248" s="104"/>
      <c r="J248" s="104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104"/>
      <c r="G249" s="104"/>
      <c r="H249" s="104"/>
      <c r="I249" s="104"/>
      <c r="J249" s="104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104"/>
      <c r="G250" s="104"/>
      <c r="H250" s="104"/>
      <c r="I250" s="104"/>
      <c r="J250" s="104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104"/>
      <c r="G251" s="104"/>
      <c r="H251" s="104"/>
      <c r="I251" s="104"/>
      <c r="J251" s="104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104"/>
      <c r="G252" s="104"/>
      <c r="H252" s="104"/>
      <c r="I252" s="104"/>
      <c r="J252" s="104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104"/>
      <c r="G253" s="104"/>
      <c r="H253" s="104"/>
      <c r="I253" s="104"/>
      <c r="J253" s="104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104"/>
      <c r="G254" s="104"/>
      <c r="H254" s="104"/>
      <c r="I254" s="104"/>
      <c r="J254" s="104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104"/>
      <c r="G255" s="104"/>
      <c r="H255" s="104"/>
      <c r="I255" s="104"/>
      <c r="J255" s="104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104"/>
      <c r="G256" s="104"/>
      <c r="H256" s="104"/>
      <c r="I256" s="104"/>
      <c r="J256" s="104"/>
      <c r="T256" s="3"/>
      <c r="U256" s="3"/>
      <c r="V256" s="3"/>
      <c r="W256" s="3"/>
      <c r="X256" s="3"/>
      <c r="Y256" s="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J4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Y994"/>
  <sheetViews>
    <sheetView showGridLines="0" workbookViewId="0"/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38" customWidth="1"/>
    <col min="4" max="4" width="17.453125" customWidth="1"/>
    <col min="5" max="5" width="8.453125" customWidth="1"/>
    <col min="6" max="6" width="15.81640625" customWidth="1"/>
    <col min="7" max="7" width="16" customWidth="1"/>
    <col min="8" max="8" width="13.7265625" customWidth="1"/>
    <col min="9" max="9" width="17.453125" customWidth="1"/>
    <col min="10" max="10" width="20.81640625" customWidth="1"/>
    <col min="11" max="11" width="17.453125" customWidth="1"/>
    <col min="12" max="12" width="12.54296875" customWidth="1"/>
    <col min="13" max="25" width="12.26953125" customWidth="1"/>
  </cols>
  <sheetData>
    <row r="1" spans="1:25" ht="12" customHeight="1">
      <c r="A1" s="1"/>
      <c r="B1" s="2"/>
      <c r="C1" s="340" t="s">
        <v>207</v>
      </c>
      <c r="D1" s="341"/>
      <c r="E1" s="341"/>
      <c r="F1" s="341"/>
      <c r="G1" s="146"/>
      <c r="H1" s="146"/>
      <c r="I1" s="146"/>
      <c r="J1" s="146"/>
      <c r="K1" s="4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5" ht="12" customHeight="1">
      <c r="A2" s="1"/>
      <c r="B2" s="2"/>
      <c r="C2" s="341"/>
      <c r="D2" s="341"/>
      <c r="E2" s="341"/>
      <c r="F2" s="341"/>
      <c r="G2" s="146"/>
      <c r="H2" s="146"/>
      <c r="I2" s="146"/>
      <c r="J2" s="146"/>
      <c r="K2" s="4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12" customHeight="1">
      <c r="A3" s="1"/>
      <c r="B3" s="2"/>
      <c r="C3" s="148"/>
      <c r="D3" s="146"/>
      <c r="E3" s="146"/>
      <c r="F3" s="146"/>
      <c r="G3" s="146"/>
      <c r="H3" s="146"/>
      <c r="I3" s="146"/>
      <c r="J3" s="146"/>
      <c r="K3" s="4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5" ht="15" customHeight="1">
      <c r="A4" s="1"/>
      <c r="B4" s="2"/>
      <c r="C4" s="149" t="s">
        <v>208</v>
      </c>
      <c r="D4" s="150" t="s">
        <v>209</v>
      </c>
      <c r="E4" s="150" t="s">
        <v>210</v>
      </c>
      <c r="F4" s="150" t="s">
        <v>211</v>
      </c>
      <c r="G4" s="150" t="s">
        <v>212</v>
      </c>
      <c r="H4" s="146"/>
      <c r="I4" s="146"/>
      <c r="J4" s="146"/>
      <c r="K4" s="4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1:25" ht="14.5">
      <c r="A5" s="1"/>
      <c r="B5" s="2"/>
      <c r="C5" s="151" t="s">
        <v>213</v>
      </c>
      <c r="D5" s="152">
        <v>1</v>
      </c>
      <c r="E5" s="153" t="s">
        <v>214</v>
      </c>
      <c r="F5" s="152">
        <v>0</v>
      </c>
      <c r="G5" s="146">
        <f>D5*F5</f>
        <v>0</v>
      </c>
      <c r="H5" s="146"/>
      <c r="I5" s="146"/>
      <c r="J5" s="146"/>
      <c r="K5" s="4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ht="13.5" customHeight="1">
      <c r="A6" s="1"/>
      <c r="B6" s="2"/>
      <c r="C6" s="151" t="s">
        <v>215</v>
      </c>
      <c r="D6" s="152">
        <v>1</v>
      </c>
      <c r="E6" s="153" t="s">
        <v>214</v>
      </c>
      <c r="F6" s="152">
        <v>0</v>
      </c>
      <c r="G6" s="146"/>
      <c r="H6" s="146"/>
      <c r="I6" s="146"/>
      <c r="J6" s="146"/>
      <c r="K6" s="4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</row>
    <row r="7" spans="1:25" ht="13.5" customHeight="1">
      <c r="A7" s="1"/>
      <c r="B7" s="2"/>
      <c r="C7" s="151" t="s">
        <v>216</v>
      </c>
      <c r="D7" s="152">
        <v>1</v>
      </c>
      <c r="E7" s="153" t="s">
        <v>214</v>
      </c>
      <c r="F7" s="152">
        <v>2300000</v>
      </c>
      <c r="G7" s="146">
        <f>D7*F7</f>
        <v>2300000</v>
      </c>
      <c r="H7" s="146"/>
      <c r="I7" s="146"/>
      <c r="J7" s="146"/>
      <c r="K7" s="4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</row>
    <row r="8" spans="1:25" ht="13.5" customHeight="1">
      <c r="A8" s="1"/>
      <c r="B8" s="2"/>
      <c r="C8" s="151" t="s">
        <v>217</v>
      </c>
      <c r="D8" s="152">
        <v>1</v>
      </c>
      <c r="E8" s="153" t="s">
        <v>214</v>
      </c>
      <c r="F8" s="152">
        <v>0</v>
      </c>
      <c r="G8" s="146"/>
      <c r="H8" s="146"/>
      <c r="I8" s="146"/>
      <c r="J8" s="146"/>
      <c r="K8" s="4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ht="13.5" customHeight="1">
      <c r="A9" s="1"/>
      <c r="B9" s="2"/>
      <c r="C9" s="151" t="s">
        <v>218</v>
      </c>
      <c r="D9" s="152">
        <v>1</v>
      </c>
      <c r="E9" s="153" t="s">
        <v>214</v>
      </c>
      <c r="F9" s="152">
        <v>0</v>
      </c>
      <c r="G9" s="146">
        <f t="shared" ref="G9:G11" si="0">D9*F9</f>
        <v>0</v>
      </c>
      <c r="H9" s="146"/>
      <c r="I9" s="146"/>
      <c r="J9" s="146"/>
      <c r="K9" s="4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</row>
    <row r="10" spans="1:25" ht="13.5" customHeight="1">
      <c r="A10" s="1"/>
      <c r="B10" s="2"/>
      <c r="C10" s="151" t="s">
        <v>219</v>
      </c>
      <c r="D10" s="152">
        <v>1</v>
      </c>
      <c r="E10" s="153" t="s">
        <v>214</v>
      </c>
      <c r="F10" s="152">
        <v>0</v>
      </c>
      <c r="G10" s="146">
        <f t="shared" si="0"/>
        <v>0</v>
      </c>
      <c r="H10" s="146"/>
      <c r="I10" s="146"/>
      <c r="J10" s="146"/>
      <c r="K10" s="4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</row>
    <row r="11" spans="1:25" ht="14.5">
      <c r="A11" s="1"/>
      <c r="B11" s="2"/>
      <c r="C11" s="151" t="s">
        <v>148</v>
      </c>
      <c r="D11" s="152">
        <v>1</v>
      </c>
      <c r="E11" s="153" t="s">
        <v>214</v>
      </c>
      <c r="F11" s="152">
        <v>0</v>
      </c>
      <c r="G11" s="146">
        <f t="shared" si="0"/>
        <v>0</v>
      </c>
      <c r="H11" s="146"/>
      <c r="I11" s="146"/>
      <c r="J11" s="146"/>
      <c r="K11" s="4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ht="13.5" customHeight="1">
      <c r="A12" s="1"/>
      <c r="B12" s="2"/>
      <c r="C12" s="154" t="s">
        <v>28</v>
      </c>
      <c r="D12" s="155"/>
      <c r="E12" s="156"/>
      <c r="F12" s="156"/>
      <c r="G12" s="156">
        <f>SUM(G5:G11)</f>
        <v>2300000</v>
      </c>
      <c r="H12" s="146"/>
      <c r="I12" s="146"/>
      <c r="J12" s="146"/>
      <c r="K12" s="4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5" ht="13.5" customHeight="1">
      <c r="A13" s="1"/>
      <c r="B13" s="2"/>
      <c r="C13" s="148"/>
      <c r="D13" s="146"/>
      <c r="E13" s="146"/>
      <c r="F13" s="146"/>
      <c r="G13" s="146"/>
      <c r="H13" s="146"/>
      <c r="I13" s="146"/>
      <c r="J13" s="146"/>
      <c r="K13" s="4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5" ht="13.5" customHeight="1">
      <c r="A14" s="1"/>
      <c r="B14" s="2"/>
      <c r="C14" s="149" t="s">
        <v>220</v>
      </c>
      <c r="D14" s="150" t="s">
        <v>209</v>
      </c>
      <c r="E14" s="150" t="s">
        <v>210</v>
      </c>
      <c r="F14" s="150" t="s">
        <v>211</v>
      </c>
      <c r="G14" s="150" t="s">
        <v>212</v>
      </c>
      <c r="H14" s="146"/>
      <c r="I14" s="146"/>
      <c r="J14" s="146"/>
      <c r="K14" s="4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ht="13.5" customHeight="1">
      <c r="A15" s="1"/>
      <c r="B15" s="2"/>
      <c r="C15" s="151"/>
      <c r="D15" s="152">
        <v>1</v>
      </c>
      <c r="E15" s="153" t="s">
        <v>214</v>
      </c>
      <c r="F15" s="152">
        <v>0</v>
      </c>
      <c r="G15" s="146">
        <f t="shared" ref="G15:G20" si="1">D15*F15</f>
        <v>0</v>
      </c>
      <c r="H15" s="146"/>
      <c r="I15" s="146"/>
      <c r="J15" s="146"/>
      <c r="K15" s="4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ht="13.5" customHeight="1">
      <c r="A16" s="1"/>
      <c r="B16" s="2"/>
      <c r="C16" s="151"/>
      <c r="D16" s="152">
        <v>1</v>
      </c>
      <c r="E16" s="153" t="s">
        <v>214</v>
      </c>
      <c r="F16" s="152">
        <v>0</v>
      </c>
      <c r="G16" s="146">
        <f t="shared" si="1"/>
        <v>0</v>
      </c>
      <c r="H16" s="146"/>
      <c r="I16" s="146"/>
      <c r="J16" s="146"/>
      <c r="K16" s="4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ht="14.5">
      <c r="A17" s="1"/>
      <c r="B17" s="2"/>
      <c r="C17" s="151"/>
      <c r="D17" s="152">
        <v>1</v>
      </c>
      <c r="E17" s="153" t="s">
        <v>214</v>
      </c>
      <c r="F17" s="152">
        <v>0</v>
      </c>
      <c r="G17" s="146">
        <f t="shared" si="1"/>
        <v>0</v>
      </c>
      <c r="H17" s="146"/>
      <c r="I17" s="146"/>
      <c r="J17" s="146"/>
      <c r="K17" s="4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13.5" customHeight="1">
      <c r="A18" s="1"/>
      <c r="B18" s="2"/>
      <c r="C18" s="151"/>
      <c r="D18" s="152">
        <v>1</v>
      </c>
      <c r="E18" s="153" t="s">
        <v>214</v>
      </c>
      <c r="F18" s="152">
        <v>0</v>
      </c>
      <c r="G18" s="146">
        <f t="shared" si="1"/>
        <v>0</v>
      </c>
      <c r="H18" s="146"/>
      <c r="I18" s="146"/>
      <c r="J18" s="146"/>
      <c r="K18" s="4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5" ht="13.5" customHeight="1">
      <c r="A19" s="1"/>
      <c r="B19" s="2"/>
      <c r="C19" s="151"/>
      <c r="D19" s="152">
        <v>1</v>
      </c>
      <c r="E19" s="153" t="s">
        <v>214</v>
      </c>
      <c r="F19" s="152">
        <v>0</v>
      </c>
      <c r="G19" s="146">
        <f t="shared" si="1"/>
        <v>0</v>
      </c>
      <c r="H19" s="146"/>
      <c r="I19" s="146"/>
      <c r="J19" s="146"/>
      <c r="K19" s="4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</row>
    <row r="20" spans="1:25" ht="13.5" customHeight="1">
      <c r="A20" s="1"/>
      <c r="B20" s="2"/>
      <c r="C20" s="151"/>
      <c r="D20" s="152">
        <v>1</v>
      </c>
      <c r="E20" s="153" t="s">
        <v>214</v>
      </c>
      <c r="F20" s="152">
        <v>0</v>
      </c>
      <c r="G20" s="146">
        <f t="shared" si="1"/>
        <v>0</v>
      </c>
      <c r="H20" s="146"/>
      <c r="I20" s="146"/>
      <c r="J20" s="146"/>
      <c r="K20" s="4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5" ht="13.5" customHeight="1">
      <c r="A21" s="1"/>
      <c r="B21" s="2"/>
      <c r="C21" s="154" t="s">
        <v>28</v>
      </c>
      <c r="D21" s="155"/>
      <c r="E21" s="156"/>
      <c r="F21" s="156"/>
      <c r="G21" s="156">
        <f>SUM(G15:G20)</f>
        <v>0</v>
      </c>
      <c r="H21" s="146"/>
      <c r="I21" s="146"/>
      <c r="J21" s="146"/>
      <c r="K21" s="4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</row>
    <row r="22" spans="1:25" ht="13.5" customHeight="1">
      <c r="A22" s="1"/>
      <c r="B22" s="2"/>
      <c r="C22" s="148"/>
      <c r="D22" s="146"/>
      <c r="E22" s="146"/>
      <c r="F22" s="146"/>
      <c r="G22" s="146"/>
      <c r="H22" s="146"/>
      <c r="I22" s="146"/>
      <c r="J22" s="146"/>
      <c r="K22" s="4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</row>
    <row r="23" spans="1:25" ht="13.5" customHeight="1">
      <c r="A23" s="1"/>
      <c r="B23" s="2"/>
      <c r="C23" s="148"/>
      <c r="D23" s="146"/>
      <c r="E23" s="146"/>
      <c r="F23" s="146"/>
      <c r="G23" s="146"/>
      <c r="H23" s="146"/>
      <c r="I23" s="146"/>
      <c r="J23" s="146"/>
      <c r="K23" s="4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25" ht="13.5" customHeight="1">
      <c r="A24" s="1"/>
      <c r="B24" s="2"/>
      <c r="C24" s="149" t="s">
        <v>221</v>
      </c>
      <c r="D24" s="150" t="s">
        <v>209</v>
      </c>
      <c r="E24" s="150" t="s">
        <v>210</v>
      </c>
      <c r="F24" s="150" t="s">
        <v>211</v>
      </c>
      <c r="G24" s="150" t="s">
        <v>212</v>
      </c>
      <c r="H24" s="146"/>
      <c r="I24" s="146"/>
      <c r="J24" s="146"/>
      <c r="K24" s="4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</row>
    <row r="25" spans="1:25" ht="13.5" customHeight="1">
      <c r="A25" s="1"/>
      <c r="B25" s="2"/>
      <c r="C25" s="151" t="s">
        <v>222</v>
      </c>
      <c r="D25" s="152">
        <v>1</v>
      </c>
      <c r="E25" s="153" t="s">
        <v>214</v>
      </c>
      <c r="F25" s="152">
        <v>0</v>
      </c>
      <c r="G25" s="146">
        <f t="shared" ref="G25:G29" si="2">D25*F25</f>
        <v>0</v>
      </c>
      <c r="H25" s="146"/>
      <c r="I25" s="146"/>
      <c r="J25" s="146"/>
      <c r="K25" s="4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</row>
    <row r="26" spans="1:25" ht="13.5" customHeight="1">
      <c r="A26" s="1"/>
      <c r="B26" s="2"/>
      <c r="C26" s="151" t="s">
        <v>223</v>
      </c>
      <c r="D26" s="152">
        <v>1</v>
      </c>
      <c r="E26" s="153" t="s">
        <v>214</v>
      </c>
      <c r="F26" s="152">
        <v>30000000</v>
      </c>
      <c r="G26" s="146">
        <f t="shared" si="2"/>
        <v>30000000</v>
      </c>
      <c r="H26" s="146"/>
      <c r="I26" s="146"/>
      <c r="J26" s="146"/>
      <c r="K26" s="4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</row>
    <row r="27" spans="1:25" ht="13.5" customHeight="1">
      <c r="A27" s="1"/>
      <c r="B27" s="2"/>
      <c r="C27" s="151" t="s">
        <v>124</v>
      </c>
      <c r="D27" s="152">
        <v>1</v>
      </c>
      <c r="E27" s="153" t="s">
        <v>214</v>
      </c>
      <c r="F27" s="152">
        <v>5000000</v>
      </c>
      <c r="G27" s="146">
        <f t="shared" si="2"/>
        <v>5000000</v>
      </c>
      <c r="H27" s="146"/>
      <c r="I27" s="146"/>
      <c r="J27" s="146"/>
      <c r="K27" s="4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</row>
    <row r="28" spans="1:25" ht="13.5" customHeight="1">
      <c r="A28" s="1"/>
      <c r="B28" s="2"/>
      <c r="C28" s="151" t="s">
        <v>224</v>
      </c>
      <c r="D28" s="152">
        <v>1</v>
      </c>
      <c r="E28" s="153" t="s">
        <v>214</v>
      </c>
      <c r="F28" s="152">
        <v>0</v>
      </c>
      <c r="G28" s="146">
        <f t="shared" si="2"/>
        <v>0</v>
      </c>
      <c r="H28" s="146"/>
      <c r="I28" s="146"/>
      <c r="J28" s="146"/>
      <c r="K28" s="4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</row>
    <row r="29" spans="1:25" ht="13.5" customHeight="1">
      <c r="A29" s="1"/>
      <c r="B29" s="2"/>
      <c r="C29" s="151" t="s">
        <v>126</v>
      </c>
      <c r="D29" s="152">
        <v>1</v>
      </c>
      <c r="E29" s="153" t="s">
        <v>214</v>
      </c>
      <c r="F29" s="152">
        <v>0</v>
      </c>
      <c r="G29" s="146">
        <f t="shared" si="2"/>
        <v>0</v>
      </c>
      <c r="H29" s="146"/>
      <c r="I29" s="146"/>
      <c r="J29" s="146"/>
      <c r="K29" s="4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</row>
    <row r="30" spans="1:25" ht="13.5" customHeight="1">
      <c r="A30" s="1"/>
      <c r="B30" s="2"/>
      <c r="C30" s="154" t="s">
        <v>28</v>
      </c>
      <c r="D30" s="155"/>
      <c r="E30" s="156"/>
      <c r="F30" s="156"/>
      <c r="G30" s="156">
        <f>SUM(G22:G29)</f>
        <v>35000000</v>
      </c>
      <c r="H30" s="146"/>
      <c r="I30" s="146"/>
      <c r="J30" s="146"/>
      <c r="K30" s="4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</row>
    <row r="31" spans="1:25" ht="13.5" customHeight="1">
      <c r="A31" s="44"/>
      <c r="B31" s="45"/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</row>
    <row r="32" spans="1:25" ht="19.5" customHeight="1">
      <c r="A32" s="44"/>
      <c r="B32" s="45"/>
      <c r="C32" s="146"/>
      <c r="D32" s="146"/>
      <c r="E32" s="146"/>
      <c r="F32" s="146"/>
      <c r="G32" s="146"/>
      <c r="H32" s="146"/>
      <c r="I32" s="146"/>
      <c r="J32" s="146"/>
      <c r="K32" s="146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25" ht="13.5" customHeight="1">
      <c r="A33" s="1"/>
      <c r="B33" s="2"/>
      <c r="C33" s="148"/>
      <c r="D33" s="146"/>
      <c r="E33" s="146"/>
      <c r="F33" s="146"/>
      <c r="G33" s="146"/>
      <c r="H33" s="146"/>
      <c r="I33" s="146"/>
      <c r="J33" s="146"/>
      <c r="K33" s="4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</row>
    <row r="34" spans="1:25" ht="13.5" customHeight="1">
      <c r="A34" s="1"/>
      <c r="B34" s="2"/>
      <c r="C34" s="340" t="s">
        <v>225</v>
      </c>
      <c r="D34" s="341"/>
      <c r="E34" s="341"/>
      <c r="F34" s="341"/>
      <c r="G34" s="146"/>
      <c r="H34" s="146"/>
      <c r="I34" s="146"/>
      <c r="J34" s="146"/>
      <c r="K34" s="4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</row>
    <row r="35" spans="1:25" ht="13.5" customHeight="1">
      <c r="A35" s="44"/>
      <c r="B35" s="45"/>
      <c r="C35" s="341"/>
      <c r="D35" s="341"/>
      <c r="E35" s="341"/>
      <c r="F35" s="341"/>
      <c r="G35" s="146"/>
      <c r="H35" s="146"/>
      <c r="I35" s="146"/>
      <c r="J35" s="146"/>
      <c r="K35" s="4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25" ht="13.5" customHeight="1">
      <c r="A36" s="44"/>
      <c r="B36" s="45"/>
      <c r="C36" s="148"/>
      <c r="D36" s="146"/>
      <c r="E36" s="146"/>
      <c r="F36" s="146"/>
      <c r="G36" s="146"/>
      <c r="H36" s="146"/>
      <c r="I36" s="146"/>
      <c r="J36" s="146"/>
      <c r="K36" s="4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ht="13.5" customHeight="1">
      <c r="A37" s="44"/>
      <c r="B37" s="45"/>
      <c r="C37" s="148"/>
      <c r="D37" s="146"/>
      <c r="E37" s="146"/>
      <c r="F37" s="146"/>
      <c r="G37" s="146"/>
      <c r="H37" s="146"/>
      <c r="I37" s="146"/>
      <c r="J37" s="146"/>
      <c r="K37" s="4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</row>
    <row r="38" spans="1:25" ht="17.25" customHeight="1">
      <c r="A38" s="44"/>
      <c r="B38" s="45"/>
      <c r="C38" s="149" t="s">
        <v>226</v>
      </c>
      <c r="D38" s="157"/>
      <c r="E38" s="158"/>
      <c r="F38" s="159"/>
      <c r="G38" s="160"/>
      <c r="H38" s="160"/>
      <c r="I38" s="160"/>
      <c r="J38" s="160"/>
      <c r="K38" s="160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</row>
    <row r="39" spans="1:25" ht="13.5" customHeight="1">
      <c r="A39" s="44"/>
      <c r="B39" s="45"/>
      <c r="C39" s="148"/>
      <c r="D39" s="146"/>
      <c r="E39" s="146"/>
      <c r="F39" s="146"/>
      <c r="G39" s="146"/>
      <c r="H39" s="146"/>
      <c r="I39" s="146"/>
      <c r="J39" s="146"/>
      <c r="K39" s="146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</row>
    <row r="40" spans="1:25" ht="17.25" customHeight="1">
      <c r="A40" s="44"/>
      <c r="B40" s="45"/>
      <c r="C40" s="162" t="s">
        <v>227</v>
      </c>
      <c r="D40" s="128" t="s">
        <v>228</v>
      </c>
      <c r="E40" s="163" t="s">
        <v>229</v>
      </c>
      <c r="F40" s="164" t="s">
        <v>230</v>
      </c>
      <c r="G40" s="165">
        <f>Hypotheses!G5</f>
        <v>2021</v>
      </c>
      <c r="H40" s="165">
        <f>Hypotheses!H5</f>
        <v>2022</v>
      </c>
      <c r="I40" s="165">
        <f>Hypotheses!I5</f>
        <v>2023</v>
      </c>
      <c r="J40" s="165">
        <f>Hypotheses!J5</f>
        <v>2024</v>
      </c>
      <c r="K40" s="165">
        <f>Hypotheses!K5</f>
        <v>2025</v>
      </c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</row>
    <row r="41" spans="1:25" ht="13.5" customHeight="1">
      <c r="A41" s="44"/>
      <c r="B41" s="45"/>
      <c r="C41" s="148"/>
      <c r="D41" s="146"/>
      <c r="E41" s="166"/>
      <c r="F41" s="153"/>
      <c r="G41" s="153"/>
      <c r="H41" s="153"/>
      <c r="I41" s="153"/>
      <c r="J41" s="153"/>
      <c r="K41" s="153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</row>
    <row r="42" spans="1:25" ht="13.5" customHeight="1">
      <c r="A42" s="44"/>
      <c r="B42" s="45"/>
      <c r="C42" s="148" t="s">
        <v>119</v>
      </c>
      <c r="D42" s="167">
        <f t="shared" ref="D42:D43" si="3">+G25</f>
        <v>0</v>
      </c>
      <c r="E42" s="168"/>
      <c r="F42" s="167"/>
      <c r="G42" s="167"/>
      <c r="H42" s="167"/>
      <c r="I42" s="167"/>
      <c r="J42" s="167"/>
      <c r="K42" s="16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</row>
    <row r="43" spans="1:25" ht="13.5" customHeight="1">
      <c r="A43" s="44"/>
      <c r="B43" s="45"/>
      <c r="C43" s="148" t="s">
        <v>121</v>
      </c>
      <c r="D43" s="167">
        <f t="shared" si="3"/>
        <v>30000000</v>
      </c>
      <c r="E43" s="169">
        <f>1/Amort_MMB</f>
        <v>0.1</v>
      </c>
      <c r="F43" s="167">
        <f t="shared" ref="F43:K43" si="4">$D43*$E43</f>
        <v>3000000</v>
      </c>
      <c r="G43" s="167">
        <f t="shared" si="4"/>
        <v>3000000</v>
      </c>
      <c r="H43" s="167">
        <f t="shared" si="4"/>
        <v>3000000</v>
      </c>
      <c r="I43" s="167">
        <f t="shared" si="4"/>
        <v>3000000</v>
      </c>
      <c r="J43" s="167">
        <f t="shared" si="4"/>
        <v>3000000</v>
      </c>
      <c r="K43" s="167">
        <f t="shared" si="4"/>
        <v>3000000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</row>
    <row r="44" spans="1:25" ht="13.5" customHeight="1">
      <c r="A44" s="44"/>
      <c r="B44" s="45"/>
      <c r="C44" s="148" t="s">
        <v>122</v>
      </c>
      <c r="D44" s="167">
        <f>G12</f>
        <v>2300000</v>
      </c>
      <c r="E44" s="169">
        <f>1/Amort_Equipement</f>
        <v>0.1</v>
      </c>
      <c r="F44" s="167">
        <f t="shared" ref="F44:K44" si="5">$D44*$E44</f>
        <v>230000</v>
      </c>
      <c r="G44" s="167">
        <f t="shared" si="5"/>
        <v>230000</v>
      </c>
      <c r="H44" s="167">
        <f t="shared" si="5"/>
        <v>230000</v>
      </c>
      <c r="I44" s="167">
        <f t="shared" si="5"/>
        <v>230000</v>
      </c>
      <c r="J44" s="167">
        <f t="shared" si="5"/>
        <v>230000</v>
      </c>
      <c r="K44" s="167">
        <f t="shared" si="5"/>
        <v>230000</v>
      </c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</row>
    <row r="45" spans="1:25" ht="13.5" customHeight="1">
      <c r="A45" s="44"/>
      <c r="B45" s="45"/>
      <c r="C45" s="148" t="s">
        <v>123</v>
      </c>
      <c r="D45" s="167">
        <f>G21</f>
        <v>0</v>
      </c>
      <c r="E45" s="169">
        <f>1/Amort_Vehicule</f>
        <v>0.1</v>
      </c>
      <c r="F45" s="167">
        <f t="shared" ref="F45:K45" si="6">$D45*$E45</f>
        <v>0</v>
      </c>
      <c r="G45" s="167">
        <f t="shared" si="6"/>
        <v>0</v>
      </c>
      <c r="H45" s="167">
        <f t="shared" si="6"/>
        <v>0</v>
      </c>
      <c r="I45" s="167">
        <f t="shared" si="6"/>
        <v>0</v>
      </c>
      <c r="J45" s="167">
        <f t="shared" si="6"/>
        <v>0</v>
      </c>
      <c r="K45" s="167">
        <f t="shared" si="6"/>
        <v>0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</row>
    <row r="46" spans="1:25" ht="13.5" customHeight="1">
      <c r="A46" s="44"/>
      <c r="B46" s="45"/>
      <c r="C46" s="148" t="s">
        <v>124</v>
      </c>
      <c r="D46" s="167">
        <f t="shared" ref="D46:D48" si="7">+G27</f>
        <v>5000000</v>
      </c>
      <c r="E46" s="169">
        <f>1/Amort_Installation</f>
        <v>0.2</v>
      </c>
      <c r="F46" s="167">
        <f t="shared" ref="F46:K46" si="8">$D46*$E46</f>
        <v>1000000</v>
      </c>
      <c r="G46" s="167">
        <f t="shared" si="8"/>
        <v>1000000</v>
      </c>
      <c r="H46" s="167">
        <f t="shared" si="8"/>
        <v>1000000</v>
      </c>
      <c r="I46" s="167">
        <f t="shared" si="8"/>
        <v>1000000</v>
      </c>
      <c r="J46" s="167">
        <f t="shared" si="8"/>
        <v>1000000</v>
      </c>
      <c r="K46" s="167">
        <f t="shared" si="8"/>
        <v>1000000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</row>
    <row r="47" spans="1:25" ht="13.5" customHeight="1">
      <c r="A47" s="44"/>
      <c r="B47" s="45"/>
      <c r="C47" s="148" t="s">
        <v>231</v>
      </c>
      <c r="D47" s="167">
        <f t="shared" si="7"/>
        <v>0</v>
      </c>
      <c r="E47" s="169">
        <f>1/Hypotheses!F38</f>
        <v>0.2</v>
      </c>
      <c r="F47" s="167">
        <f t="shared" ref="F47:K47" si="9">$D47*$E47</f>
        <v>0</v>
      </c>
      <c r="G47" s="167">
        <f t="shared" si="9"/>
        <v>0</v>
      </c>
      <c r="H47" s="167">
        <f t="shared" si="9"/>
        <v>0</v>
      </c>
      <c r="I47" s="167">
        <f t="shared" si="9"/>
        <v>0</v>
      </c>
      <c r="J47" s="167">
        <f t="shared" si="9"/>
        <v>0</v>
      </c>
      <c r="K47" s="167">
        <f t="shared" si="9"/>
        <v>0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</row>
    <row r="48" spans="1:25" ht="13.5" customHeight="1">
      <c r="A48" s="44"/>
      <c r="B48" s="45"/>
      <c r="C48" s="148" t="s">
        <v>126</v>
      </c>
      <c r="D48" s="167">
        <f t="shared" si="7"/>
        <v>0</v>
      </c>
      <c r="E48" s="169">
        <f>1/Hypotheses!F39</f>
        <v>0.2</v>
      </c>
      <c r="F48" s="167">
        <f t="shared" ref="F48:K48" si="10">$D48*$E48</f>
        <v>0</v>
      </c>
      <c r="G48" s="167">
        <f t="shared" si="10"/>
        <v>0</v>
      </c>
      <c r="H48" s="167">
        <f t="shared" si="10"/>
        <v>0</v>
      </c>
      <c r="I48" s="167">
        <f t="shared" si="10"/>
        <v>0</v>
      </c>
      <c r="J48" s="167">
        <f t="shared" si="10"/>
        <v>0</v>
      </c>
      <c r="K48" s="167">
        <f t="shared" si="10"/>
        <v>0</v>
      </c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</row>
    <row r="49" spans="1:25" ht="13.5" customHeight="1">
      <c r="A49" s="44"/>
      <c r="B49" s="45"/>
      <c r="C49" s="154" t="s">
        <v>225</v>
      </c>
      <c r="D49" s="155"/>
      <c r="E49" s="156"/>
      <c r="F49" s="156"/>
      <c r="G49" s="156">
        <f t="shared" ref="G49:K49" si="11">SUM(G42:G48)</f>
        <v>4230000</v>
      </c>
      <c r="H49" s="156">
        <f t="shared" si="11"/>
        <v>4230000</v>
      </c>
      <c r="I49" s="156">
        <f t="shared" si="11"/>
        <v>4230000</v>
      </c>
      <c r="J49" s="156">
        <f t="shared" si="11"/>
        <v>4230000</v>
      </c>
      <c r="K49" s="156">
        <f t="shared" si="11"/>
        <v>4230000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</row>
    <row r="50" spans="1:25" ht="13.5" customHeight="1">
      <c r="A50" s="44"/>
      <c r="B50" s="45"/>
      <c r="C50" s="148"/>
      <c r="D50" s="146"/>
      <c r="E50" s="146"/>
      <c r="F50" s="146"/>
      <c r="G50" s="146"/>
      <c r="H50" s="146"/>
      <c r="I50" s="146"/>
      <c r="J50" s="146"/>
      <c r="K50" s="146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</row>
    <row r="52" spans="1:25" ht="13.5" customHeight="1">
      <c r="A52" s="44"/>
      <c r="B52" s="45"/>
      <c r="C52" s="148"/>
      <c r="D52" s="146"/>
      <c r="E52" s="146"/>
      <c r="F52" s="146"/>
      <c r="G52" s="146"/>
      <c r="H52" s="146"/>
      <c r="I52" s="146"/>
      <c r="J52" s="146"/>
      <c r="K52" s="146"/>
      <c r="L52" s="170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</row>
    <row r="53" spans="1:25" ht="13.5" customHeight="1">
      <c r="A53" s="44"/>
      <c r="B53" s="45"/>
      <c r="C53" s="148"/>
      <c r="D53" s="146"/>
      <c r="E53" s="146"/>
      <c r="F53" s="146"/>
      <c r="G53" s="146"/>
      <c r="H53" s="146"/>
      <c r="I53" s="146"/>
      <c r="J53" s="146"/>
      <c r="K53" s="146"/>
      <c r="L53" s="170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</row>
    <row r="54" spans="1:25" ht="13.5" customHeight="1">
      <c r="A54" s="44"/>
      <c r="B54" s="45"/>
      <c r="C54" s="148"/>
      <c r="D54" s="146"/>
      <c r="E54" s="146"/>
      <c r="F54" s="146"/>
      <c r="G54" s="146"/>
      <c r="H54" s="146"/>
      <c r="I54" s="146"/>
      <c r="J54" s="146"/>
      <c r="K54" s="146"/>
      <c r="L54" s="170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</row>
    <row r="55" spans="1:25" ht="13.5" customHeight="1">
      <c r="A55" s="44"/>
      <c r="B55" s="45"/>
      <c r="C55" s="148"/>
      <c r="D55" s="146"/>
      <c r="E55" s="146"/>
      <c r="F55" s="146"/>
      <c r="G55" s="146"/>
      <c r="H55" s="146"/>
      <c r="I55" s="146"/>
      <c r="J55" s="146"/>
      <c r="K55" s="146"/>
      <c r="L55" s="170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</row>
    <row r="56" spans="1:25" ht="17.25" customHeight="1">
      <c r="A56" s="44"/>
      <c r="B56" s="45"/>
      <c r="C56" s="148"/>
      <c r="D56" s="146"/>
      <c r="E56" s="146"/>
      <c r="F56" s="146"/>
      <c r="G56" s="146"/>
      <c r="H56" s="146"/>
      <c r="I56" s="146"/>
      <c r="J56" s="146"/>
      <c r="K56" s="146"/>
      <c r="L56" s="170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pans="1:25" ht="13.5" customHeight="1">
      <c r="A57" s="44"/>
      <c r="B57" s="45"/>
      <c r="C57" s="148"/>
      <c r="D57" s="146"/>
      <c r="E57" s="146"/>
      <c r="F57" s="146"/>
      <c r="G57" s="146"/>
      <c r="H57" s="146"/>
      <c r="I57" s="146"/>
      <c r="J57" s="146"/>
      <c r="K57" s="146"/>
      <c r="L57" s="170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</row>
    <row r="58" spans="1:25" ht="13.5" customHeight="1">
      <c r="A58" s="44"/>
      <c r="B58" s="45"/>
      <c r="C58" s="148"/>
      <c r="D58" s="146"/>
      <c r="E58" s="146"/>
      <c r="F58" s="146"/>
      <c r="G58" s="146"/>
      <c r="H58" s="146"/>
      <c r="I58" s="146"/>
      <c r="J58" s="146"/>
      <c r="K58" s="146"/>
      <c r="L58" s="170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</row>
    <row r="59" spans="1:25" ht="17.25" customHeight="1">
      <c r="A59" s="44"/>
      <c r="B59" s="45"/>
      <c r="C59" s="148"/>
      <c r="D59" s="146"/>
      <c r="E59" s="146"/>
      <c r="F59" s="146"/>
      <c r="G59" s="146"/>
      <c r="H59" s="146"/>
      <c r="I59" s="146"/>
      <c r="J59" s="146"/>
      <c r="K59" s="146"/>
      <c r="L59" s="170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</row>
    <row r="60" spans="1:25" ht="13.5" customHeight="1">
      <c r="A60" s="44"/>
      <c r="B60" s="45"/>
      <c r="C60" s="148"/>
      <c r="D60" s="146"/>
      <c r="E60" s="146"/>
      <c r="F60" s="146"/>
      <c r="G60" s="146"/>
      <c r="H60" s="146"/>
      <c r="I60" s="146"/>
      <c r="J60" s="146"/>
      <c r="K60" s="146"/>
      <c r="L60" s="170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</row>
    <row r="61" spans="1:25" ht="13.5" customHeight="1">
      <c r="A61" s="44"/>
      <c r="B61" s="45"/>
      <c r="C61" s="148"/>
      <c r="D61" s="146"/>
      <c r="E61" s="146"/>
      <c r="F61" s="146"/>
      <c r="G61" s="146"/>
      <c r="H61" s="146"/>
      <c r="I61" s="146"/>
      <c r="J61" s="146"/>
      <c r="K61" s="146"/>
      <c r="L61" s="170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</row>
    <row r="62" spans="1:25" ht="13.5" customHeight="1">
      <c r="A62" s="44"/>
      <c r="B62" s="45"/>
      <c r="C62" s="148"/>
      <c r="D62" s="146"/>
      <c r="E62" s="146"/>
      <c r="F62" s="146"/>
      <c r="G62" s="146"/>
      <c r="H62" s="146"/>
      <c r="I62" s="146"/>
      <c r="J62" s="146"/>
      <c r="K62" s="146"/>
      <c r="L62" s="170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</row>
    <row r="63" spans="1:25" ht="13.5" customHeight="1">
      <c r="A63" s="44"/>
      <c r="B63" s="45"/>
      <c r="C63" s="148"/>
      <c r="D63" s="146"/>
      <c r="E63" s="146"/>
      <c r="F63" s="146"/>
      <c r="G63" s="146"/>
      <c r="H63" s="146"/>
      <c r="I63" s="146"/>
      <c r="J63" s="146"/>
      <c r="K63" s="146"/>
      <c r="L63" s="170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</row>
    <row r="64" spans="1:25" ht="13.5" customHeight="1">
      <c r="A64" s="44"/>
      <c r="B64" s="45"/>
      <c r="C64" s="148"/>
      <c r="D64" s="146"/>
      <c r="E64" s="146"/>
      <c r="F64" s="146"/>
      <c r="G64" s="146"/>
      <c r="H64" s="146"/>
      <c r="I64" s="146"/>
      <c r="J64" s="146"/>
      <c r="K64" s="146"/>
      <c r="L64" s="170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</row>
    <row r="65" spans="1:25" ht="16.5" customHeight="1">
      <c r="A65" s="44"/>
      <c r="B65" s="45"/>
      <c r="C65" s="148"/>
      <c r="D65" s="146"/>
      <c r="E65" s="146"/>
      <c r="F65" s="146"/>
      <c r="G65" s="146"/>
      <c r="H65" s="146"/>
      <c r="I65" s="146"/>
      <c r="J65" s="146"/>
      <c r="K65" s="146"/>
      <c r="L65" s="170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</row>
    <row r="66" spans="1:25" ht="13.5" customHeight="1">
      <c r="A66" s="44"/>
      <c r="B66" s="45"/>
      <c r="C66" s="148"/>
      <c r="D66" s="146"/>
      <c r="E66" s="146"/>
      <c r="F66" s="146"/>
      <c r="G66" s="146"/>
      <c r="H66" s="146"/>
      <c r="I66" s="146"/>
      <c r="J66" s="146"/>
      <c r="K66" s="146"/>
      <c r="L66" s="170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</row>
    <row r="67" spans="1:25" ht="13.5" customHeight="1">
      <c r="A67" s="44"/>
      <c r="B67" s="45"/>
      <c r="C67" s="148"/>
      <c r="D67" s="146"/>
      <c r="E67" s="146"/>
      <c r="F67" s="146"/>
      <c r="G67" s="146"/>
      <c r="H67" s="146"/>
      <c r="I67" s="146"/>
      <c r="J67" s="146"/>
      <c r="K67" s="146"/>
      <c r="L67" s="170"/>
      <c r="M67" s="170"/>
      <c r="N67" s="170"/>
      <c r="O67" s="170"/>
      <c r="P67" s="170"/>
      <c r="Q67" s="147"/>
      <c r="R67" s="147"/>
      <c r="S67" s="147"/>
      <c r="T67" s="147"/>
      <c r="U67" s="147"/>
      <c r="V67" s="147"/>
      <c r="W67" s="147"/>
      <c r="X67" s="147"/>
      <c r="Y67" s="147"/>
    </row>
    <row r="68" spans="1:25" ht="13.5" customHeight="1">
      <c r="A68" s="44"/>
      <c r="B68" s="45"/>
      <c r="C68" s="148"/>
      <c r="D68" s="146"/>
      <c r="E68" s="146"/>
      <c r="F68" s="146"/>
      <c r="G68" s="146"/>
      <c r="H68" s="146"/>
      <c r="I68" s="146"/>
      <c r="J68" s="146"/>
      <c r="K68" s="146"/>
      <c r="L68" s="170"/>
      <c r="M68" s="170"/>
      <c r="N68" s="170"/>
      <c r="O68" s="170"/>
      <c r="P68" s="170"/>
      <c r="Q68" s="147"/>
      <c r="R68" s="147"/>
      <c r="S68" s="147"/>
      <c r="T68" s="147"/>
      <c r="U68" s="147"/>
      <c r="V68" s="147"/>
      <c r="W68" s="147"/>
      <c r="X68" s="147"/>
      <c r="Y68" s="147"/>
    </row>
    <row r="69" spans="1:25" ht="17.25" customHeight="1">
      <c r="A69" s="44"/>
      <c r="B69" s="45"/>
      <c r="C69" s="148"/>
      <c r="D69" s="146"/>
      <c r="E69" s="146"/>
      <c r="F69" s="146"/>
      <c r="G69" s="146"/>
      <c r="H69" s="146"/>
      <c r="I69" s="146"/>
      <c r="J69" s="146"/>
      <c r="K69" s="146"/>
      <c r="L69" s="170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</row>
    <row r="70" spans="1:25" ht="13.5" customHeight="1">
      <c r="A70" s="44"/>
      <c r="B70" s="45"/>
      <c r="C70" s="148"/>
      <c r="D70" s="146"/>
      <c r="E70" s="146"/>
      <c r="F70" s="146"/>
      <c r="G70" s="146"/>
      <c r="H70" s="146"/>
      <c r="I70" s="146"/>
      <c r="J70" s="146"/>
      <c r="K70" s="146"/>
      <c r="L70" s="170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</row>
    <row r="71" spans="1:25" ht="13.5" customHeight="1">
      <c r="A71" s="44"/>
      <c r="B71" s="45"/>
      <c r="C71" s="148"/>
      <c r="D71" s="146"/>
      <c r="E71" s="146"/>
      <c r="F71" s="146"/>
      <c r="G71" s="146"/>
      <c r="H71" s="146"/>
      <c r="I71" s="146"/>
      <c r="J71" s="146"/>
      <c r="K71" s="146"/>
      <c r="L71" s="170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</row>
    <row r="72" spans="1:25" ht="17.25" customHeight="1">
      <c r="A72" s="44"/>
      <c r="B72" s="45"/>
      <c r="C72" s="148"/>
      <c r="D72" s="146"/>
      <c r="E72" s="146"/>
      <c r="F72" s="146"/>
      <c r="G72" s="146"/>
      <c r="H72" s="146"/>
      <c r="I72" s="146"/>
      <c r="J72" s="146"/>
      <c r="K72" s="146"/>
      <c r="L72" s="170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</row>
    <row r="73" spans="1:25" ht="13.5" customHeight="1">
      <c r="A73" s="44"/>
      <c r="B73" s="45"/>
      <c r="C73" s="148"/>
      <c r="D73" s="146"/>
      <c r="E73" s="146"/>
      <c r="F73" s="146"/>
      <c r="G73" s="146"/>
      <c r="H73" s="146"/>
      <c r="I73" s="146"/>
      <c r="J73" s="146"/>
      <c r="K73" s="146"/>
      <c r="L73" s="170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</row>
    <row r="74" spans="1:25" ht="13.5" customHeight="1">
      <c r="A74" s="44"/>
      <c r="B74" s="45"/>
      <c r="C74" s="148"/>
      <c r="D74" s="146"/>
      <c r="E74" s="146"/>
      <c r="F74" s="146"/>
      <c r="G74" s="146"/>
      <c r="H74" s="146"/>
      <c r="I74" s="146"/>
      <c r="J74" s="146"/>
      <c r="K74" s="146"/>
      <c r="L74" s="170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</row>
    <row r="75" spans="1:25" ht="13.5" customHeight="1">
      <c r="A75" s="44"/>
      <c r="B75" s="45"/>
      <c r="C75" s="148"/>
      <c r="D75" s="146"/>
      <c r="E75" s="146"/>
      <c r="F75" s="146"/>
      <c r="G75" s="146"/>
      <c r="H75" s="146"/>
      <c r="I75" s="146"/>
      <c r="J75" s="146"/>
      <c r="K75" s="146"/>
      <c r="L75" s="170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</row>
    <row r="76" spans="1:25" ht="13.5" customHeight="1">
      <c r="A76" s="44"/>
      <c r="B76" s="45"/>
      <c r="C76" s="148"/>
      <c r="D76" s="146"/>
      <c r="E76" s="146"/>
      <c r="F76" s="146"/>
      <c r="G76" s="146"/>
      <c r="H76" s="146"/>
      <c r="I76" s="146"/>
      <c r="J76" s="146"/>
      <c r="K76" s="146"/>
      <c r="L76" s="170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</row>
    <row r="77" spans="1:25" ht="13.5" customHeight="1">
      <c r="A77" s="44"/>
      <c r="B77" s="45"/>
      <c r="C77" s="148"/>
      <c r="D77" s="146"/>
      <c r="E77" s="146"/>
      <c r="F77" s="146"/>
      <c r="G77" s="146"/>
      <c r="H77" s="146"/>
      <c r="I77" s="146"/>
      <c r="J77" s="146"/>
      <c r="K77" s="146"/>
      <c r="L77" s="170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</row>
    <row r="78" spans="1:25" ht="16.5" customHeight="1">
      <c r="A78" s="44"/>
      <c r="B78" s="45"/>
      <c r="C78" s="148"/>
      <c r="D78" s="146"/>
      <c r="E78" s="146"/>
      <c r="F78" s="146"/>
      <c r="G78" s="146"/>
      <c r="H78" s="146"/>
      <c r="I78" s="146"/>
      <c r="J78" s="146"/>
      <c r="K78" s="146"/>
      <c r="L78" s="170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</row>
    <row r="79" spans="1:25" ht="13.5" customHeight="1">
      <c r="A79" s="44"/>
      <c r="B79" s="45"/>
      <c r="C79" s="148"/>
      <c r="D79" s="146"/>
      <c r="E79" s="146"/>
      <c r="F79" s="146"/>
      <c r="G79" s="146"/>
      <c r="H79" s="146"/>
      <c r="I79" s="146"/>
      <c r="J79" s="146"/>
      <c r="K79" s="146"/>
      <c r="L79" s="170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</row>
    <row r="80" spans="1:25" ht="13.5" customHeight="1">
      <c r="A80" s="44"/>
      <c r="B80" s="45"/>
      <c r="C80" s="148"/>
      <c r="D80" s="146"/>
      <c r="E80" s="146"/>
      <c r="F80" s="146"/>
      <c r="G80" s="146"/>
      <c r="H80" s="146"/>
      <c r="I80" s="146"/>
      <c r="J80" s="146"/>
      <c r="K80" s="146"/>
      <c r="L80" s="170"/>
      <c r="M80" s="170"/>
      <c r="N80" s="170"/>
      <c r="O80" s="170"/>
      <c r="P80" s="170"/>
      <c r="Q80" s="147"/>
      <c r="R80" s="147"/>
      <c r="S80" s="147"/>
      <c r="T80" s="147"/>
      <c r="U80" s="147"/>
      <c r="V80" s="147"/>
      <c r="W80" s="147"/>
      <c r="X80" s="147"/>
      <c r="Y80" s="147"/>
    </row>
    <row r="81" spans="1:25" ht="13.5" customHeight="1">
      <c r="A81" s="44"/>
      <c r="B81" s="45"/>
      <c r="C81" s="148"/>
      <c r="D81" s="146"/>
      <c r="E81" s="146"/>
      <c r="F81" s="146"/>
      <c r="G81" s="146"/>
      <c r="H81" s="146"/>
      <c r="I81" s="146"/>
      <c r="J81" s="146"/>
      <c r="K81" s="146"/>
      <c r="L81" s="170"/>
      <c r="M81" s="170"/>
      <c r="N81" s="170"/>
      <c r="O81" s="170"/>
      <c r="P81" s="170"/>
      <c r="Q81" s="147"/>
      <c r="R81" s="147"/>
      <c r="S81" s="147"/>
      <c r="T81" s="147"/>
      <c r="U81" s="147"/>
      <c r="V81" s="147"/>
      <c r="W81" s="147"/>
      <c r="X81" s="147"/>
      <c r="Y81" s="147"/>
    </row>
    <row r="82" spans="1:25" ht="13.5" customHeight="1">
      <c r="A82" s="44"/>
      <c r="B82" s="45"/>
      <c r="C82" s="148"/>
      <c r="D82" s="146"/>
      <c r="E82" s="146"/>
      <c r="F82" s="146"/>
      <c r="G82" s="146"/>
      <c r="H82" s="146"/>
      <c r="I82" s="146"/>
      <c r="J82" s="146"/>
      <c r="K82" s="146"/>
      <c r="L82" s="170"/>
      <c r="M82" s="170"/>
      <c r="N82" s="170"/>
      <c r="O82" s="170"/>
      <c r="P82" s="170"/>
      <c r="Q82" s="147"/>
      <c r="R82" s="147"/>
      <c r="S82" s="147"/>
      <c r="T82" s="147"/>
      <c r="U82" s="147"/>
      <c r="V82" s="147"/>
      <c r="W82" s="147"/>
      <c r="X82" s="147"/>
      <c r="Y82" s="147"/>
    </row>
    <row r="83" spans="1:25" ht="13.5" customHeight="1">
      <c r="A83" s="44"/>
      <c r="B83" s="45"/>
      <c r="C83" s="148"/>
      <c r="D83" s="146"/>
      <c r="E83" s="146"/>
      <c r="F83" s="171"/>
      <c r="G83" s="146"/>
      <c r="H83" s="146"/>
      <c r="I83" s="146"/>
      <c r="J83" s="146"/>
      <c r="K83" s="4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5" ht="13.5" customHeight="1">
      <c r="A84" s="44"/>
      <c r="B84" s="45"/>
      <c r="C84" s="148"/>
      <c r="D84" s="146"/>
      <c r="E84" s="146"/>
      <c r="F84" s="146"/>
      <c r="G84" s="146"/>
      <c r="H84" s="172"/>
      <c r="I84" s="146"/>
      <c r="J84" s="146"/>
      <c r="K84" s="4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</row>
    <row r="85" spans="1:25" ht="13.5" customHeight="1">
      <c r="A85" s="44"/>
      <c r="B85" s="45"/>
      <c r="C85" s="148"/>
      <c r="D85" s="146"/>
      <c r="E85" s="146"/>
      <c r="F85" s="146"/>
      <c r="G85" s="146"/>
      <c r="H85" s="146"/>
      <c r="I85" s="146"/>
      <c r="J85" s="146"/>
      <c r="K85" s="4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</row>
    <row r="86" spans="1:25" ht="13.5" customHeight="1">
      <c r="A86" s="44"/>
      <c r="B86" s="45"/>
      <c r="C86" s="148"/>
      <c r="D86" s="146"/>
      <c r="E86" s="146"/>
      <c r="F86" s="146"/>
      <c r="G86" s="146"/>
      <c r="H86" s="146"/>
      <c r="I86" s="146"/>
      <c r="J86" s="146"/>
      <c r="K86" s="4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</row>
    <row r="87" spans="1:25" ht="13.5" customHeight="1">
      <c r="A87" s="44"/>
      <c r="B87" s="45"/>
      <c r="C87" s="148"/>
      <c r="D87" s="146"/>
      <c r="E87" s="146"/>
      <c r="F87" s="146"/>
      <c r="G87" s="146"/>
      <c r="H87" s="146"/>
      <c r="I87" s="146"/>
      <c r="J87" s="146"/>
      <c r="K87" s="4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</row>
    <row r="88" spans="1:25" ht="13.5" customHeight="1">
      <c r="A88" s="44"/>
      <c r="B88" s="45"/>
      <c r="C88" s="148"/>
      <c r="D88" s="146"/>
      <c r="E88" s="146"/>
      <c r="F88" s="146"/>
      <c r="G88" s="146"/>
      <c r="H88" s="146"/>
      <c r="I88" s="146"/>
      <c r="J88" s="146"/>
      <c r="K88" s="4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</row>
    <row r="89" spans="1:25" ht="13.5" customHeight="1">
      <c r="A89" s="44"/>
      <c r="B89" s="45"/>
      <c r="C89" s="148"/>
      <c r="D89" s="146"/>
      <c r="E89" s="146"/>
      <c r="F89" s="146"/>
      <c r="G89" s="146"/>
      <c r="H89" s="146"/>
      <c r="I89" s="146"/>
      <c r="J89" s="146"/>
      <c r="K89" s="4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</row>
    <row r="90" spans="1:25" ht="13.5" customHeight="1">
      <c r="A90" s="44"/>
      <c r="B90" s="45"/>
      <c r="C90" s="148"/>
      <c r="D90" s="146"/>
      <c r="E90" s="146"/>
      <c r="F90" s="146"/>
      <c r="G90" s="146"/>
      <c r="H90" s="146"/>
      <c r="I90" s="146"/>
      <c r="J90" s="146"/>
      <c r="K90" s="4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</row>
    <row r="91" spans="1:25" ht="13.5" customHeight="1">
      <c r="A91" s="44"/>
      <c r="B91" s="45"/>
      <c r="C91" s="148"/>
      <c r="D91" s="146"/>
      <c r="E91" s="146"/>
      <c r="F91" s="146"/>
      <c r="G91" s="146"/>
      <c r="H91" s="146"/>
      <c r="I91" s="146"/>
      <c r="J91" s="146"/>
      <c r="K91" s="4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</row>
    <row r="92" spans="1:25" ht="13.5" customHeight="1">
      <c r="A92" s="44"/>
      <c r="B92" s="45"/>
      <c r="C92" s="148"/>
      <c r="D92" s="146"/>
      <c r="E92" s="146"/>
      <c r="F92" s="146"/>
      <c r="G92" s="146"/>
      <c r="H92" s="146"/>
      <c r="I92" s="146"/>
      <c r="J92" s="146"/>
      <c r="K92" s="4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</row>
    <row r="93" spans="1:25" ht="13.5" customHeight="1">
      <c r="A93" s="44"/>
      <c r="B93" s="45"/>
      <c r="C93" s="148"/>
      <c r="D93" s="146"/>
      <c r="E93" s="146"/>
      <c r="F93" s="146"/>
      <c r="G93" s="146"/>
      <c r="H93" s="146"/>
      <c r="I93" s="146"/>
      <c r="J93" s="146"/>
      <c r="K93" s="4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</row>
    <row r="94" spans="1:25" ht="13.5" customHeight="1">
      <c r="A94" s="44"/>
      <c r="B94" s="45"/>
      <c r="C94" s="148"/>
      <c r="D94" s="146"/>
      <c r="E94" s="146"/>
      <c r="F94" s="146"/>
      <c r="G94" s="146"/>
      <c r="H94" s="146"/>
      <c r="I94" s="146"/>
      <c r="J94" s="146"/>
      <c r="K94" s="4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</row>
    <row r="95" spans="1:25" ht="13.5" customHeight="1">
      <c r="A95" s="44"/>
      <c r="B95" s="45"/>
      <c r="C95" s="148"/>
      <c r="D95" s="146"/>
      <c r="E95" s="146"/>
      <c r="F95" s="146"/>
      <c r="G95" s="146"/>
      <c r="H95" s="146"/>
      <c r="I95" s="146"/>
      <c r="J95" s="146"/>
      <c r="K95" s="4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</row>
    <row r="96" spans="1:25" ht="13.5" customHeight="1">
      <c r="A96" s="44"/>
      <c r="B96" s="45"/>
      <c r="C96" s="148"/>
      <c r="D96" s="146"/>
      <c r="E96" s="146"/>
      <c r="F96" s="146"/>
      <c r="G96" s="146"/>
      <c r="H96" s="146"/>
      <c r="I96" s="146"/>
      <c r="J96" s="146"/>
      <c r="K96" s="4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</row>
    <row r="97" spans="1:25" ht="13.5" customHeight="1">
      <c r="A97" s="44"/>
      <c r="B97" s="45"/>
      <c r="C97" s="148"/>
      <c r="D97" s="146"/>
      <c r="E97" s="146"/>
      <c r="F97" s="146"/>
      <c r="G97" s="146"/>
      <c r="H97" s="146"/>
      <c r="I97" s="146"/>
      <c r="J97" s="146"/>
      <c r="K97" s="4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</row>
    <row r="98" spans="1:25" ht="13.5" customHeight="1">
      <c r="A98" s="44"/>
      <c r="B98" s="45"/>
      <c r="C98" s="148"/>
      <c r="D98" s="146"/>
      <c r="E98" s="146"/>
      <c r="F98" s="146"/>
      <c r="G98" s="146"/>
      <c r="H98" s="146"/>
      <c r="I98" s="146"/>
      <c r="J98" s="146"/>
      <c r="K98" s="4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</row>
    <row r="99" spans="1:25" ht="13.5" customHeight="1">
      <c r="A99" s="44"/>
      <c r="B99" s="45"/>
      <c r="C99" s="148"/>
      <c r="D99" s="146"/>
      <c r="E99" s="146"/>
      <c r="F99" s="146"/>
      <c r="G99" s="146"/>
      <c r="H99" s="146"/>
      <c r="I99" s="146"/>
      <c r="J99" s="146"/>
      <c r="K99" s="4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</row>
    <row r="100" spans="1:25" ht="13.5" customHeight="1">
      <c r="A100" s="44"/>
      <c r="B100" s="45"/>
      <c r="C100" s="148"/>
      <c r="D100" s="146"/>
      <c r="E100" s="146"/>
      <c r="F100" s="146"/>
      <c r="G100" s="146"/>
      <c r="H100" s="146"/>
      <c r="I100" s="146"/>
      <c r="J100" s="146"/>
      <c r="K100" s="4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</row>
    <row r="101" spans="1:25" ht="13.5" customHeight="1">
      <c r="A101" s="44"/>
      <c r="B101" s="45"/>
      <c r="C101" s="148"/>
      <c r="D101" s="146"/>
      <c r="E101" s="146"/>
      <c r="F101" s="146"/>
      <c r="G101" s="146"/>
      <c r="H101" s="146"/>
      <c r="I101" s="146"/>
      <c r="J101" s="146"/>
      <c r="K101" s="4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</row>
    <row r="102" spans="1:25" ht="13.5" customHeight="1">
      <c r="A102" s="44"/>
      <c r="B102" s="45"/>
      <c r="C102" s="148"/>
      <c r="D102" s="146"/>
      <c r="E102" s="146"/>
      <c r="F102" s="146"/>
      <c r="G102" s="146"/>
      <c r="H102" s="146"/>
      <c r="I102" s="146"/>
      <c r="J102" s="146"/>
      <c r="K102" s="4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</row>
    <row r="103" spans="1:25" ht="13.5" customHeight="1">
      <c r="A103" s="44"/>
      <c r="B103" s="45"/>
      <c r="C103" s="148"/>
      <c r="D103" s="146"/>
      <c r="E103" s="146"/>
      <c r="F103" s="146"/>
      <c r="G103" s="146"/>
      <c r="H103" s="146"/>
      <c r="I103" s="146"/>
      <c r="J103" s="146"/>
      <c r="K103" s="4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</row>
    <row r="104" spans="1:25" ht="13.5" customHeight="1">
      <c r="A104" s="44"/>
      <c r="B104" s="45"/>
      <c r="C104" s="148"/>
      <c r="D104" s="146"/>
      <c r="E104" s="146"/>
      <c r="F104" s="146"/>
      <c r="G104" s="146"/>
      <c r="H104" s="146"/>
      <c r="I104" s="146"/>
      <c r="J104" s="146"/>
      <c r="K104" s="4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</row>
    <row r="105" spans="1:25" ht="13.5" customHeight="1">
      <c r="A105" s="44"/>
      <c r="B105" s="45"/>
      <c r="C105" s="148"/>
      <c r="D105" s="146"/>
      <c r="E105" s="146"/>
      <c r="F105" s="146"/>
      <c r="G105" s="146"/>
      <c r="H105" s="146"/>
      <c r="I105" s="146"/>
      <c r="J105" s="146"/>
      <c r="K105" s="4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</row>
    <row r="106" spans="1:25" ht="13.5" customHeight="1">
      <c r="A106" s="44"/>
      <c r="B106" s="45"/>
      <c r="C106" s="148"/>
      <c r="D106" s="146"/>
      <c r="E106" s="146"/>
      <c r="F106" s="146"/>
      <c r="G106" s="146"/>
      <c r="H106" s="146"/>
      <c r="I106" s="146"/>
      <c r="J106" s="146"/>
      <c r="K106" s="4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</row>
    <row r="107" spans="1:25" ht="13.5" customHeight="1">
      <c r="A107" s="44"/>
      <c r="B107" s="45"/>
      <c r="C107" s="148"/>
      <c r="D107" s="146"/>
      <c r="E107" s="146"/>
      <c r="F107" s="146"/>
      <c r="G107" s="146"/>
      <c r="H107" s="146"/>
      <c r="I107" s="146"/>
      <c r="J107" s="146"/>
      <c r="K107" s="4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</row>
    <row r="108" spans="1:25" ht="13.5" customHeight="1">
      <c r="A108" s="44"/>
      <c r="B108" s="45"/>
      <c r="C108" s="148"/>
      <c r="D108" s="146"/>
      <c r="E108" s="146"/>
      <c r="F108" s="146"/>
      <c r="G108" s="146"/>
      <c r="H108" s="146"/>
      <c r="I108" s="146"/>
      <c r="J108" s="146"/>
      <c r="K108" s="4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</row>
    <row r="109" spans="1:25" ht="13.5" customHeight="1">
      <c r="A109" s="44"/>
      <c r="B109" s="45"/>
      <c r="C109" s="148"/>
      <c r="D109" s="146"/>
      <c r="E109" s="146"/>
      <c r="F109" s="146"/>
      <c r="G109" s="146"/>
      <c r="H109" s="146"/>
      <c r="I109" s="146"/>
      <c r="J109" s="146"/>
      <c r="K109" s="4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</row>
    <row r="110" spans="1:25" ht="13.5" customHeight="1">
      <c r="A110" s="44"/>
      <c r="B110" s="45"/>
      <c r="C110" s="148"/>
      <c r="D110" s="146"/>
      <c r="E110" s="146"/>
      <c r="F110" s="146"/>
      <c r="G110" s="146"/>
      <c r="H110" s="146"/>
      <c r="I110" s="146"/>
      <c r="J110" s="146"/>
      <c r="K110" s="4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</row>
    <row r="111" spans="1:25" ht="13.5" customHeight="1">
      <c r="A111" s="44"/>
      <c r="B111" s="45"/>
      <c r="C111" s="148"/>
      <c r="D111" s="146"/>
      <c r="E111" s="146"/>
      <c r="F111" s="146"/>
      <c r="G111" s="146"/>
      <c r="H111" s="146"/>
      <c r="I111" s="146"/>
      <c r="J111" s="146"/>
      <c r="K111" s="4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</row>
    <row r="112" spans="1:25" ht="13.5" customHeight="1">
      <c r="A112" s="44"/>
      <c r="B112" s="45"/>
      <c r="C112" s="148"/>
      <c r="D112" s="146"/>
      <c r="E112" s="146"/>
      <c r="F112" s="146"/>
      <c r="G112" s="146"/>
      <c r="H112" s="146"/>
      <c r="I112" s="146"/>
      <c r="J112" s="146"/>
      <c r="K112" s="4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</row>
    <row r="113" spans="1:25" ht="13.5" customHeight="1">
      <c r="A113" s="44"/>
      <c r="B113" s="45"/>
      <c r="C113" s="148"/>
      <c r="D113" s="146"/>
      <c r="E113" s="146"/>
      <c r="F113" s="146"/>
      <c r="G113" s="146"/>
      <c r="H113" s="146"/>
      <c r="I113" s="146"/>
      <c r="J113" s="146"/>
      <c r="K113" s="4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</row>
    <row r="114" spans="1:25" ht="13.5" customHeight="1">
      <c r="A114" s="3"/>
      <c r="B114" s="3"/>
      <c r="C114" s="148"/>
      <c r="D114" s="146"/>
      <c r="E114" s="146"/>
      <c r="F114" s="146"/>
      <c r="G114" s="146"/>
      <c r="H114" s="146"/>
      <c r="I114" s="146"/>
      <c r="J114" s="146"/>
      <c r="K114" s="4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</row>
    <row r="115" spans="1:25" ht="13.5" customHeight="1">
      <c r="A115" s="3"/>
      <c r="B115" s="3"/>
      <c r="C115" s="148"/>
      <c r="D115" s="146"/>
      <c r="E115" s="146"/>
      <c r="F115" s="146"/>
      <c r="G115" s="146"/>
      <c r="H115" s="146"/>
      <c r="I115" s="146"/>
      <c r="J115" s="146"/>
      <c r="K115" s="4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</row>
    <row r="116" spans="1:25" ht="13.5" customHeight="1">
      <c r="A116" s="3"/>
      <c r="B116" s="3"/>
      <c r="C116" s="148"/>
      <c r="D116" s="146"/>
      <c r="E116" s="146"/>
      <c r="F116" s="146"/>
      <c r="G116" s="146"/>
      <c r="H116" s="146"/>
      <c r="I116" s="146"/>
      <c r="J116" s="146"/>
      <c r="K116" s="4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</row>
    <row r="117" spans="1:25" ht="13.5" customHeight="1">
      <c r="A117" s="3"/>
      <c r="B117" s="3"/>
      <c r="C117" s="148"/>
      <c r="D117" s="146"/>
      <c r="E117" s="146"/>
      <c r="F117" s="146"/>
      <c r="G117" s="146"/>
      <c r="H117" s="146"/>
      <c r="I117" s="146"/>
      <c r="J117" s="146"/>
      <c r="K117" s="4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</row>
    <row r="118" spans="1:25" ht="13.5" customHeight="1">
      <c r="A118" s="3"/>
      <c r="B118" s="3"/>
      <c r="C118" s="148"/>
      <c r="D118" s="146"/>
      <c r="E118" s="146"/>
      <c r="F118" s="146"/>
      <c r="G118" s="146"/>
      <c r="H118" s="146"/>
      <c r="I118" s="146"/>
      <c r="J118" s="146"/>
      <c r="K118" s="4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</row>
    <row r="119" spans="1:25" ht="13.5" customHeight="1">
      <c r="A119" s="3"/>
      <c r="B119" s="3"/>
      <c r="C119" s="148"/>
      <c r="D119" s="146"/>
      <c r="E119" s="146"/>
      <c r="F119" s="146"/>
      <c r="G119" s="146"/>
      <c r="H119" s="146"/>
      <c r="I119" s="146"/>
      <c r="J119" s="146"/>
      <c r="K119" s="4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</row>
    <row r="120" spans="1:25" ht="13.5" customHeight="1">
      <c r="A120" s="3"/>
      <c r="B120" s="3"/>
      <c r="C120" s="148"/>
      <c r="D120" s="146"/>
      <c r="E120" s="146"/>
      <c r="F120" s="146"/>
      <c r="G120" s="146"/>
      <c r="H120" s="146"/>
      <c r="I120" s="146"/>
      <c r="J120" s="146"/>
      <c r="K120" s="4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</row>
    <row r="121" spans="1:25" ht="13.5" customHeight="1">
      <c r="A121" s="3"/>
      <c r="B121" s="3"/>
      <c r="C121" s="148"/>
      <c r="D121" s="146"/>
      <c r="E121" s="146"/>
      <c r="F121" s="146"/>
      <c r="G121" s="146"/>
      <c r="H121" s="146"/>
      <c r="I121" s="146"/>
      <c r="J121" s="146"/>
      <c r="K121" s="4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</row>
    <row r="122" spans="1:25" ht="13.5" customHeight="1">
      <c r="A122" s="3"/>
      <c r="B122" s="3"/>
      <c r="C122" s="148"/>
      <c r="D122" s="146"/>
      <c r="E122" s="146"/>
      <c r="F122" s="146"/>
      <c r="G122" s="146"/>
      <c r="H122" s="146"/>
      <c r="I122" s="146"/>
      <c r="J122" s="146"/>
      <c r="K122" s="4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</row>
    <row r="123" spans="1:25" ht="13.5" customHeight="1">
      <c r="A123" s="3"/>
      <c r="B123" s="3"/>
      <c r="C123" s="148"/>
      <c r="D123" s="146"/>
      <c r="E123" s="146"/>
      <c r="F123" s="146"/>
      <c r="G123" s="146"/>
      <c r="H123" s="146"/>
      <c r="I123" s="146"/>
      <c r="J123" s="146"/>
      <c r="K123" s="4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</row>
    <row r="124" spans="1:25" ht="13.5" customHeight="1">
      <c r="A124" s="3"/>
      <c r="B124" s="3"/>
      <c r="C124" s="148"/>
      <c r="D124" s="146"/>
      <c r="E124" s="146"/>
      <c r="F124" s="146"/>
      <c r="G124" s="146"/>
      <c r="H124" s="146"/>
      <c r="I124" s="146"/>
      <c r="J124" s="146"/>
      <c r="K124" s="4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</row>
    <row r="125" spans="1:25" ht="13.5" customHeight="1">
      <c r="A125" s="3"/>
      <c r="B125" s="3"/>
      <c r="C125" s="148"/>
      <c r="D125" s="146"/>
      <c r="E125" s="146"/>
      <c r="F125" s="146"/>
      <c r="G125" s="146"/>
      <c r="H125" s="146"/>
      <c r="I125" s="146"/>
      <c r="J125" s="146"/>
      <c r="K125" s="4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</row>
    <row r="126" spans="1:25" ht="13.5" customHeight="1">
      <c r="A126" s="3"/>
      <c r="B126" s="3"/>
      <c r="C126" s="148"/>
      <c r="D126" s="146"/>
      <c r="E126" s="146"/>
      <c r="F126" s="146"/>
      <c r="G126" s="146"/>
      <c r="H126" s="146"/>
      <c r="I126" s="146"/>
      <c r="J126" s="146"/>
      <c r="K126" s="4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</row>
    <row r="127" spans="1:25" ht="13.5" customHeight="1">
      <c r="A127" s="3"/>
      <c r="B127" s="3"/>
      <c r="C127" s="148"/>
      <c r="D127" s="146"/>
      <c r="E127" s="146"/>
      <c r="F127" s="146"/>
      <c r="G127" s="146"/>
      <c r="H127" s="146"/>
      <c r="I127" s="146"/>
      <c r="J127" s="146"/>
      <c r="K127" s="4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</row>
    <row r="128" spans="1:25" ht="13.5" customHeight="1">
      <c r="A128" s="3"/>
      <c r="B128" s="3"/>
      <c r="C128" s="148"/>
      <c r="D128" s="146"/>
      <c r="E128" s="146"/>
      <c r="F128" s="146"/>
      <c r="G128" s="146"/>
      <c r="H128" s="146"/>
      <c r="I128" s="146"/>
      <c r="J128" s="146"/>
      <c r="K128" s="4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</row>
    <row r="129" spans="1:25" ht="13.5" customHeight="1">
      <c r="A129" s="3"/>
      <c r="B129" s="3"/>
      <c r="C129" s="148"/>
      <c r="D129" s="146"/>
      <c r="E129" s="146"/>
      <c r="F129" s="146"/>
      <c r="G129" s="146"/>
      <c r="H129" s="146"/>
      <c r="I129" s="146"/>
      <c r="J129" s="146"/>
      <c r="K129" s="4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</row>
    <row r="130" spans="1:25" ht="13.5" customHeight="1">
      <c r="A130" s="3"/>
      <c r="B130" s="3"/>
      <c r="C130" s="148"/>
      <c r="D130" s="146"/>
      <c r="E130" s="146"/>
      <c r="F130" s="146"/>
      <c r="G130" s="146"/>
      <c r="H130" s="146"/>
      <c r="I130" s="146"/>
      <c r="J130" s="146"/>
      <c r="K130" s="4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</row>
    <row r="131" spans="1:25" ht="13.5" customHeight="1">
      <c r="A131" s="3"/>
      <c r="B131" s="3"/>
      <c r="C131" s="148"/>
      <c r="D131" s="146"/>
      <c r="E131" s="146"/>
      <c r="F131" s="146"/>
      <c r="G131" s="146"/>
      <c r="H131" s="146"/>
      <c r="I131" s="146"/>
      <c r="J131" s="146"/>
      <c r="K131" s="4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</row>
    <row r="132" spans="1:25" ht="13.5" customHeight="1">
      <c r="A132" s="3"/>
      <c r="B132" s="3"/>
      <c r="C132" s="148"/>
      <c r="D132" s="146"/>
      <c r="E132" s="146"/>
      <c r="F132" s="146"/>
      <c r="G132" s="146"/>
      <c r="H132" s="146"/>
      <c r="I132" s="146"/>
      <c r="J132" s="146"/>
      <c r="K132" s="4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</row>
    <row r="133" spans="1:25" ht="13.5" customHeight="1">
      <c r="A133" s="3"/>
      <c r="B133" s="3"/>
      <c r="C133" s="148"/>
      <c r="D133" s="146"/>
      <c r="E133" s="146"/>
      <c r="F133" s="146"/>
      <c r="G133" s="146"/>
      <c r="H133" s="146"/>
      <c r="I133" s="146"/>
      <c r="J133" s="146"/>
      <c r="K133" s="4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</row>
    <row r="134" spans="1:25" ht="13.5" customHeight="1">
      <c r="A134" s="3"/>
      <c r="B134" s="3"/>
      <c r="C134" s="148"/>
      <c r="D134" s="146"/>
      <c r="E134" s="146"/>
      <c r="F134" s="146"/>
      <c r="G134" s="146"/>
      <c r="H134" s="146"/>
      <c r="I134" s="146"/>
      <c r="J134" s="146"/>
      <c r="K134" s="4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</row>
    <row r="135" spans="1:25" ht="13.5" customHeight="1">
      <c r="A135" s="3"/>
      <c r="B135" s="3"/>
      <c r="C135" s="148"/>
      <c r="D135" s="146"/>
      <c r="E135" s="146"/>
      <c r="F135" s="146"/>
      <c r="G135" s="146"/>
      <c r="H135" s="146"/>
      <c r="I135" s="146"/>
      <c r="J135" s="146"/>
      <c r="K135" s="4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</row>
    <row r="136" spans="1:25" ht="13.5" customHeight="1">
      <c r="A136" s="3"/>
      <c r="B136" s="3"/>
      <c r="C136" s="148"/>
      <c r="D136" s="146"/>
      <c r="E136" s="146"/>
      <c r="F136" s="146"/>
      <c r="G136" s="146"/>
      <c r="H136" s="146"/>
      <c r="I136" s="146"/>
      <c r="J136" s="146"/>
      <c r="K136" s="4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</row>
    <row r="137" spans="1:25" ht="13.5" customHeight="1">
      <c r="A137" s="3"/>
      <c r="B137" s="3"/>
      <c r="C137" s="148"/>
      <c r="D137" s="146"/>
      <c r="E137" s="146"/>
      <c r="F137" s="146"/>
      <c r="G137" s="146"/>
      <c r="H137" s="146"/>
      <c r="I137" s="146"/>
      <c r="J137" s="146"/>
      <c r="K137" s="4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</row>
    <row r="138" spans="1:25" ht="13.5" customHeight="1">
      <c r="A138" s="3"/>
      <c r="B138" s="3"/>
      <c r="C138" s="148"/>
      <c r="D138" s="146"/>
      <c r="E138" s="146"/>
      <c r="F138" s="146"/>
      <c r="G138" s="146"/>
      <c r="H138" s="146"/>
      <c r="I138" s="146"/>
      <c r="J138" s="146"/>
      <c r="K138" s="4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</row>
    <row r="139" spans="1:25" ht="13.5" customHeight="1">
      <c r="A139" s="3"/>
      <c r="B139" s="3"/>
      <c r="C139" s="148"/>
      <c r="D139" s="146"/>
      <c r="E139" s="146"/>
      <c r="F139" s="146"/>
      <c r="G139" s="146"/>
      <c r="H139" s="146"/>
      <c r="I139" s="146"/>
      <c r="J139" s="146"/>
      <c r="K139" s="4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</row>
    <row r="140" spans="1:25" ht="13.5" customHeight="1">
      <c r="A140" s="3"/>
      <c r="B140" s="3"/>
      <c r="C140" s="148"/>
      <c r="D140" s="146"/>
      <c r="E140" s="146"/>
      <c r="F140" s="146"/>
      <c r="G140" s="146"/>
      <c r="H140" s="146"/>
      <c r="I140" s="146"/>
      <c r="J140" s="146"/>
      <c r="K140" s="4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</row>
    <row r="141" spans="1:25" ht="13.5" customHeight="1">
      <c r="A141" s="3"/>
      <c r="B141" s="3"/>
      <c r="C141" s="148"/>
      <c r="D141" s="146"/>
      <c r="E141" s="146"/>
      <c r="F141" s="146"/>
      <c r="G141" s="146"/>
      <c r="H141" s="146"/>
      <c r="I141" s="146"/>
      <c r="J141" s="146"/>
      <c r="K141" s="4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</row>
    <row r="142" spans="1:25" ht="13.5" customHeight="1">
      <c r="A142" s="3"/>
      <c r="B142" s="3"/>
      <c r="C142" s="148"/>
      <c r="D142" s="146"/>
      <c r="E142" s="146"/>
      <c r="F142" s="146"/>
      <c r="G142" s="146"/>
      <c r="H142" s="146"/>
      <c r="I142" s="146"/>
      <c r="J142" s="146"/>
      <c r="K142" s="4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</row>
    <row r="143" spans="1:25" ht="13.5" customHeight="1">
      <c r="A143" s="3"/>
      <c r="B143" s="3"/>
      <c r="C143" s="148"/>
      <c r="D143" s="146"/>
      <c r="E143" s="146"/>
      <c r="F143" s="146"/>
      <c r="G143" s="146"/>
      <c r="H143" s="146"/>
      <c r="I143" s="146"/>
      <c r="J143" s="146"/>
      <c r="K143" s="4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</row>
    <row r="144" spans="1:25" ht="13.5" customHeight="1">
      <c r="A144" s="3"/>
      <c r="B144" s="3"/>
      <c r="C144" s="148"/>
      <c r="D144" s="146"/>
      <c r="E144" s="146"/>
      <c r="F144" s="146"/>
      <c r="G144" s="146"/>
      <c r="H144" s="146"/>
      <c r="I144" s="146"/>
      <c r="J144" s="146"/>
      <c r="K144" s="4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</row>
    <row r="145" spans="1:25" ht="13.5" customHeight="1">
      <c r="A145" s="3"/>
      <c r="B145" s="3"/>
      <c r="C145" s="148"/>
      <c r="D145" s="146"/>
      <c r="E145" s="146"/>
      <c r="F145" s="146"/>
      <c r="G145" s="146"/>
      <c r="H145" s="146"/>
      <c r="I145" s="146"/>
      <c r="J145" s="146"/>
      <c r="K145" s="4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</row>
    <row r="146" spans="1:25" ht="13.5" customHeight="1">
      <c r="A146" s="3"/>
      <c r="B146" s="3"/>
      <c r="C146" s="148"/>
      <c r="D146" s="146"/>
      <c r="E146" s="146"/>
      <c r="F146" s="146"/>
      <c r="G146" s="146"/>
      <c r="H146" s="146"/>
      <c r="I146" s="146"/>
      <c r="J146" s="146"/>
      <c r="K146" s="4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</row>
    <row r="147" spans="1:25" ht="13.5" customHeight="1">
      <c r="A147" s="3"/>
      <c r="B147" s="3"/>
      <c r="C147" s="148"/>
      <c r="D147" s="146"/>
      <c r="E147" s="146"/>
      <c r="F147" s="146"/>
      <c r="G147" s="146"/>
      <c r="H147" s="146"/>
      <c r="I147" s="146"/>
      <c r="J147" s="146"/>
      <c r="K147" s="4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</row>
    <row r="148" spans="1:25" ht="13.5" customHeight="1">
      <c r="A148" s="3"/>
      <c r="B148" s="3"/>
      <c r="C148" s="148"/>
      <c r="D148" s="146"/>
      <c r="E148" s="146"/>
      <c r="F148" s="146"/>
      <c r="G148" s="146"/>
      <c r="H148" s="146"/>
      <c r="I148" s="146"/>
      <c r="J148" s="146"/>
      <c r="K148" s="4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</row>
    <row r="149" spans="1:25" ht="13.5" customHeight="1">
      <c r="A149" s="3"/>
      <c r="B149" s="3"/>
      <c r="C149" s="148"/>
      <c r="D149" s="146"/>
      <c r="E149" s="146"/>
      <c r="F149" s="146"/>
      <c r="G149" s="146"/>
      <c r="H149" s="146"/>
      <c r="I149" s="146"/>
      <c r="J149" s="146"/>
      <c r="K149" s="4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</row>
    <row r="150" spans="1:25" ht="13.5" customHeight="1">
      <c r="A150" s="3"/>
      <c r="B150" s="3"/>
      <c r="C150" s="148"/>
      <c r="D150" s="146"/>
      <c r="E150" s="146"/>
      <c r="F150" s="146"/>
      <c r="G150" s="146"/>
      <c r="H150" s="146"/>
      <c r="I150" s="146"/>
      <c r="J150" s="146"/>
      <c r="K150" s="4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</row>
    <row r="151" spans="1:25" ht="13.5" customHeight="1">
      <c r="A151" s="3"/>
      <c r="B151" s="3"/>
      <c r="C151" s="148"/>
      <c r="D151" s="146"/>
      <c r="E151" s="146"/>
      <c r="F151" s="146"/>
      <c r="G151" s="146"/>
      <c r="H151" s="146"/>
      <c r="I151" s="146"/>
      <c r="J151" s="146"/>
      <c r="K151" s="4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</row>
    <row r="152" spans="1:25" ht="13.5" customHeight="1">
      <c r="A152" s="3"/>
      <c r="B152" s="3"/>
      <c r="C152" s="148"/>
      <c r="D152" s="146"/>
      <c r="E152" s="146"/>
      <c r="F152" s="146"/>
      <c r="G152" s="146"/>
      <c r="H152" s="146"/>
      <c r="I152" s="146"/>
      <c r="J152" s="146"/>
      <c r="K152" s="4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</row>
    <row r="153" spans="1:25" ht="13.5" customHeight="1">
      <c r="A153" s="3"/>
      <c r="B153" s="3"/>
      <c r="C153" s="148"/>
      <c r="D153" s="146"/>
      <c r="E153" s="146"/>
      <c r="F153" s="146"/>
      <c r="G153" s="146"/>
      <c r="H153" s="146"/>
      <c r="I153" s="146"/>
      <c r="J153" s="146"/>
      <c r="K153" s="4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</row>
    <row r="154" spans="1:25" ht="13.5" customHeight="1">
      <c r="A154" s="3"/>
      <c r="B154" s="3"/>
      <c r="C154" s="148"/>
      <c r="D154" s="146"/>
      <c r="E154" s="146"/>
      <c r="F154" s="146"/>
      <c r="G154" s="146"/>
      <c r="H154" s="146"/>
      <c r="I154" s="146"/>
      <c r="J154" s="146"/>
      <c r="K154" s="4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</row>
    <row r="155" spans="1:25" ht="13.5" customHeight="1">
      <c r="A155" s="3"/>
      <c r="B155" s="3"/>
      <c r="C155" s="148"/>
      <c r="D155" s="146"/>
      <c r="E155" s="146"/>
      <c r="F155" s="146"/>
      <c r="G155" s="146"/>
      <c r="H155" s="146"/>
      <c r="I155" s="146"/>
      <c r="J155" s="146"/>
      <c r="K155" s="4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</row>
    <row r="156" spans="1:25" ht="13.5" customHeight="1">
      <c r="A156" s="3"/>
      <c r="B156" s="3"/>
      <c r="C156" s="148"/>
      <c r="D156" s="146"/>
      <c r="E156" s="146"/>
      <c r="F156" s="146"/>
      <c r="G156" s="146"/>
      <c r="H156" s="146"/>
      <c r="I156" s="146"/>
      <c r="J156" s="146"/>
      <c r="K156" s="4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</row>
    <row r="157" spans="1:25" ht="13.5" customHeight="1">
      <c r="A157" s="3"/>
      <c r="B157" s="3"/>
      <c r="C157" s="148"/>
      <c r="D157" s="146"/>
      <c r="E157" s="146"/>
      <c r="F157" s="146"/>
      <c r="G157" s="146"/>
      <c r="H157" s="146"/>
      <c r="I157" s="146"/>
      <c r="J157" s="146"/>
      <c r="K157" s="4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</row>
    <row r="158" spans="1:25" ht="13.5" customHeight="1">
      <c r="A158" s="3"/>
      <c r="B158" s="3"/>
      <c r="C158" s="148"/>
      <c r="D158" s="146"/>
      <c r="E158" s="146"/>
      <c r="F158" s="146"/>
      <c r="G158" s="146"/>
      <c r="H158" s="146"/>
      <c r="I158" s="146"/>
      <c r="J158" s="146"/>
      <c r="K158" s="4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</row>
    <row r="159" spans="1:25" ht="13.5" customHeight="1">
      <c r="A159" s="3"/>
      <c r="B159" s="3"/>
      <c r="C159" s="148"/>
      <c r="D159" s="146"/>
      <c r="E159" s="146"/>
      <c r="F159" s="146"/>
      <c r="G159" s="146"/>
      <c r="H159" s="146"/>
      <c r="I159" s="146"/>
      <c r="J159" s="146"/>
      <c r="K159" s="4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</row>
    <row r="160" spans="1:25" ht="13.5" customHeight="1">
      <c r="A160" s="3"/>
      <c r="B160" s="3"/>
      <c r="C160" s="148"/>
      <c r="D160" s="146"/>
      <c r="E160" s="146"/>
      <c r="F160" s="146"/>
      <c r="G160" s="146"/>
      <c r="H160" s="146"/>
      <c r="I160" s="146"/>
      <c r="J160" s="146"/>
      <c r="K160" s="4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</row>
    <row r="161" spans="1:25" ht="13.5" customHeight="1">
      <c r="A161" s="3"/>
      <c r="B161" s="3"/>
      <c r="C161" s="148"/>
      <c r="D161" s="146"/>
      <c r="E161" s="146"/>
      <c r="F161" s="146"/>
      <c r="G161" s="146"/>
      <c r="H161" s="146"/>
      <c r="I161" s="146"/>
      <c r="J161" s="146"/>
      <c r="K161" s="4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</row>
    <row r="162" spans="1:25" ht="13.5" customHeight="1">
      <c r="A162" s="3"/>
      <c r="B162" s="3"/>
      <c r="C162" s="148"/>
      <c r="D162" s="146"/>
      <c r="E162" s="146"/>
      <c r="F162" s="146"/>
      <c r="G162" s="146"/>
      <c r="H162" s="146"/>
      <c r="I162" s="146"/>
      <c r="J162" s="146"/>
      <c r="K162" s="4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</row>
    <row r="163" spans="1:25" ht="13.5" customHeight="1">
      <c r="A163" s="3"/>
      <c r="B163" s="3"/>
      <c r="C163" s="148"/>
      <c r="D163" s="146"/>
      <c r="E163" s="146"/>
      <c r="F163" s="146"/>
      <c r="G163" s="146"/>
      <c r="H163" s="146"/>
      <c r="I163" s="146"/>
      <c r="J163" s="146"/>
      <c r="K163" s="4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</row>
    <row r="164" spans="1:25" ht="13.5" customHeight="1">
      <c r="A164" s="3"/>
      <c r="B164" s="3"/>
      <c r="C164" s="148"/>
      <c r="D164" s="146"/>
      <c r="E164" s="146"/>
      <c r="F164" s="146"/>
      <c r="G164" s="146"/>
      <c r="H164" s="146"/>
      <c r="I164" s="146"/>
      <c r="J164" s="146"/>
      <c r="K164" s="4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</row>
    <row r="165" spans="1:25" ht="13.5" customHeight="1">
      <c r="A165" s="3"/>
      <c r="B165" s="3"/>
      <c r="C165" s="148"/>
      <c r="D165" s="146"/>
      <c r="E165" s="146"/>
      <c r="F165" s="146"/>
      <c r="G165" s="146"/>
      <c r="H165" s="146"/>
      <c r="I165" s="146"/>
      <c r="J165" s="146"/>
      <c r="K165" s="4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</row>
    <row r="166" spans="1:25" ht="13.5" customHeight="1">
      <c r="A166" s="3"/>
      <c r="B166" s="3"/>
      <c r="C166" s="148"/>
      <c r="D166" s="146"/>
      <c r="E166" s="146"/>
      <c r="F166" s="146"/>
      <c r="G166" s="146"/>
      <c r="H166" s="146"/>
      <c r="I166" s="146"/>
      <c r="J166" s="146"/>
      <c r="K166" s="4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</row>
    <row r="167" spans="1:25" ht="13.5" customHeight="1">
      <c r="A167" s="3"/>
      <c r="B167" s="3"/>
      <c r="C167" s="148"/>
      <c r="D167" s="146"/>
      <c r="E167" s="146"/>
      <c r="F167" s="146"/>
      <c r="G167" s="146"/>
      <c r="H167" s="146"/>
      <c r="I167" s="146"/>
      <c r="J167" s="146"/>
      <c r="K167" s="4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</row>
    <row r="168" spans="1:25" ht="13.5" customHeight="1">
      <c r="A168" s="3"/>
      <c r="B168" s="3"/>
      <c r="C168" s="148"/>
      <c r="D168" s="146"/>
      <c r="E168" s="146"/>
      <c r="F168" s="146"/>
      <c r="G168" s="146"/>
      <c r="H168" s="146"/>
      <c r="I168" s="146"/>
      <c r="J168" s="146"/>
      <c r="K168" s="4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</row>
    <row r="169" spans="1:25" ht="13.5" customHeight="1">
      <c r="A169" s="3"/>
      <c r="B169" s="3"/>
      <c r="C169" s="148"/>
      <c r="D169" s="146"/>
      <c r="E169" s="146"/>
      <c r="F169" s="146"/>
      <c r="G169" s="146"/>
      <c r="H169" s="146"/>
      <c r="I169" s="146"/>
      <c r="J169" s="146"/>
      <c r="K169" s="4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</row>
    <row r="170" spans="1:25" ht="13.5" customHeight="1">
      <c r="A170" s="3"/>
      <c r="B170" s="3"/>
      <c r="C170" s="148"/>
      <c r="D170" s="146"/>
      <c r="E170" s="146"/>
      <c r="F170" s="146"/>
      <c r="G170" s="146"/>
      <c r="H170" s="146"/>
      <c r="I170" s="146"/>
      <c r="J170" s="146"/>
      <c r="K170" s="4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</row>
    <row r="171" spans="1:25" ht="13.5" customHeight="1">
      <c r="A171" s="3"/>
      <c r="B171" s="3"/>
      <c r="C171" s="148"/>
      <c r="D171" s="146"/>
      <c r="E171" s="146"/>
      <c r="F171" s="146"/>
      <c r="G171" s="146"/>
      <c r="H171" s="146"/>
      <c r="I171" s="146"/>
      <c r="J171" s="146"/>
      <c r="K171" s="4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</row>
    <row r="172" spans="1:25" ht="13.5" customHeight="1">
      <c r="A172" s="3"/>
      <c r="B172" s="3"/>
      <c r="C172" s="148"/>
      <c r="D172" s="146"/>
      <c r="E172" s="146"/>
      <c r="F172" s="146"/>
      <c r="G172" s="146"/>
      <c r="H172" s="146"/>
      <c r="I172" s="146"/>
      <c r="J172" s="146"/>
      <c r="K172" s="4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</row>
    <row r="173" spans="1:25" ht="13.5" customHeight="1">
      <c r="A173" s="3"/>
      <c r="B173" s="3"/>
      <c r="C173" s="148"/>
      <c r="D173" s="146"/>
      <c r="E173" s="146"/>
      <c r="F173" s="146"/>
      <c r="G173" s="146"/>
      <c r="H173" s="146"/>
      <c r="I173" s="146"/>
      <c r="J173" s="146"/>
      <c r="K173" s="4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</row>
    <row r="174" spans="1:25" ht="13.5" customHeight="1">
      <c r="A174" s="3"/>
      <c r="B174" s="3"/>
      <c r="C174" s="148"/>
      <c r="D174" s="146"/>
      <c r="E174" s="146"/>
      <c r="F174" s="146"/>
      <c r="G174" s="146"/>
      <c r="H174" s="146"/>
      <c r="I174" s="146"/>
      <c r="J174" s="146"/>
      <c r="K174" s="4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</row>
    <row r="175" spans="1:25" ht="13.5" customHeight="1">
      <c r="A175" s="3"/>
      <c r="B175" s="3"/>
      <c r="C175" s="148"/>
      <c r="D175" s="146"/>
      <c r="E175" s="146"/>
      <c r="F175" s="146"/>
      <c r="G175" s="146"/>
      <c r="H175" s="146"/>
      <c r="I175" s="146"/>
      <c r="J175" s="146"/>
      <c r="K175" s="4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</row>
    <row r="176" spans="1:25" ht="13.5" customHeight="1">
      <c r="A176" s="3"/>
      <c r="B176" s="3"/>
      <c r="C176" s="148"/>
      <c r="D176" s="146"/>
      <c r="E176" s="146"/>
      <c r="F176" s="146"/>
      <c r="G176" s="146"/>
      <c r="H176" s="146"/>
      <c r="I176" s="146"/>
      <c r="J176" s="146"/>
      <c r="K176" s="4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</row>
    <row r="177" spans="1:25" ht="13.5" customHeight="1">
      <c r="A177" s="3"/>
      <c r="B177" s="3"/>
      <c r="C177" s="148"/>
      <c r="D177" s="146"/>
      <c r="E177" s="146"/>
      <c r="F177" s="146"/>
      <c r="G177" s="146"/>
      <c r="H177" s="146"/>
      <c r="I177" s="146"/>
      <c r="J177" s="146"/>
      <c r="K177" s="4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</row>
    <row r="178" spans="1:25" ht="13.5" customHeight="1">
      <c r="A178" s="3"/>
      <c r="B178" s="3"/>
      <c r="C178" s="148"/>
      <c r="D178" s="146"/>
      <c r="E178" s="146"/>
      <c r="F178" s="146"/>
      <c r="G178" s="146"/>
      <c r="H178" s="146"/>
      <c r="I178" s="146"/>
      <c r="J178" s="146"/>
      <c r="K178" s="4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</row>
    <row r="179" spans="1:25" ht="13.5" customHeight="1">
      <c r="A179" s="3"/>
      <c r="B179" s="3"/>
      <c r="C179" s="148"/>
      <c r="D179" s="146"/>
      <c r="E179" s="146"/>
      <c r="F179" s="146"/>
      <c r="G179" s="146"/>
      <c r="H179" s="146"/>
      <c r="I179" s="146"/>
      <c r="J179" s="146"/>
      <c r="K179" s="4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</row>
    <row r="180" spans="1:25" ht="13.5" customHeight="1">
      <c r="A180" s="3"/>
      <c r="B180" s="3"/>
      <c r="C180" s="148"/>
      <c r="D180" s="146"/>
      <c r="E180" s="146"/>
      <c r="F180" s="146"/>
      <c r="G180" s="146"/>
      <c r="H180" s="146"/>
      <c r="I180" s="146"/>
      <c r="J180" s="146"/>
      <c r="K180" s="4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</row>
    <row r="181" spans="1:25" ht="13.5" customHeight="1">
      <c r="A181" s="3"/>
      <c r="B181" s="3"/>
      <c r="C181" s="148"/>
      <c r="D181" s="146"/>
      <c r="E181" s="146"/>
      <c r="F181" s="146"/>
      <c r="G181" s="146"/>
      <c r="H181" s="146"/>
      <c r="I181" s="146"/>
      <c r="J181" s="146"/>
      <c r="K181" s="4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</row>
    <row r="182" spans="1:25" ht="13.5" customHeight="1">
      <c r="A182" s="3"/>
      <c r="B182" s="3"/>
      <c r="C182" s="148"/>
      <c r="D182" s="146"/>
      <c r="E182" s="146"/>
      <c r="F182" s="146"/>
      <c r="G182" s="146"/>
      <c r="H182" s="146"/>
      <c r="I182" s="146"/>
      <c r="J182" s="146"/>
      <c r="K182" s="4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</row>
    <row r="183" spans="1:25" ht="13.5" customHeight="1">
      <c r="A183" s="3"/>
      <c r="B183" s="3"/>
      <c r="C183" s="148"/>
      <c r="D183" s="146"/>
      <c r="E183" s="146"/>
      <c r="F183" s="146"/>
      <c r="G183" s="146"/>
      <c r="H183" s="146"/>
      <c r="I183" s="146"/>
      <c r="J183" s="146"/>
      <c r="K183" s="4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</row>
    <row r="184" spans="1:25" ht="13.5" customHeight="1">
      <c r="A184" s="3"/>
      <c r="B184" s="3"/>
      <c r="C184" s="148"/>
      <c r="D184" s="146"/>
      <c r="E184" s="146"/>
      <c r="F184" s="146"/>
      <c r="G184" s="146"/>
      <c r="H184" s="146"/>
      <c r="I184" s="146"/>
      <c r="J184" s="146"/>
      <c r="K184" s="4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</row>
    <row r="185" spans="1:25" ht="13.5" customHeight="1">
      <c r="A185" s="3"/>
      <c r="B185" s="3"/>
      <c r="C185" s="148"/>
      <c r="D185" s="146"/>
      <c r="E185" s="146"/>
      <c r="F185" s="146"/>
      <c r="G185" s="146"/>
      <c r="H185" s="146"/>
      <c r="I185" s="146"/>
      <c r="J185" s="146"/>
      <c r="K185" s="4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</row>
    <row r="186" spans="1:25" ht="13.5" customHeight="1">
      <c r="A186" s="3"/>
      <c r="B186" s="3"/>
      <c r="C186" s="148"/>
      <c r="D186" s="146"/>
      <c r="E186" s="146"/>
      <c r="F186" s="146"/>
      <c r="G186" s="146"/>
      <c r="H186" s="146"/>
      <c r="I186" s="146"/>
      <c r="J186" s="146"/>
      <c r="K186" s="4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</row>
    <row r="187" spans="1:25" ht="13.5" customHeight="1">
      <c r="A187" s="3"/>
      <c r="B187" s="3"/>
      <c r="C187" s="148"/>
      <c r="D187" s="146"/>
      <c r="E187" s="146"/>
      <c r="F187" s="146"/>
      <c r="G187" s="146"/>
      <c r="H187" s="146"/>
      <c r="I187" s="146"/>
      <c r="J187" s="146"/>
      <c r="K187" s="4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</row>
    <row r="188" spans="1:25" ht="13.5" customHeight="1">
      <c r="A188" s="3"/>
      <c r="B188" s="3"/>
      <c r="C188" s="148"/>
      <c r="D188" s="146"/>
      <c r="E188" s="146"/>
      <c r="F188" s="146"/>
      <c r="G188" s="146"/>
      <c r="H188" s="146"/>
      <c r="I188" s="146"/>
      <c r="J188" s="146"/>
      <c r="K188" s="4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</row>
    <row r="189" spans="1:25" ht="13.5" customHeight="1">
      <c r="A189" s="3"/>
      <c r="B189" s="3"/>
      <c r="C189" s="148"/>
      <c r="D189" s="146"/>
      <c r="E189" s="146"/>
      <c r="F189" s="146"/>
      <c r="G189" s="146"/>
      <c r="H189" s="146"/>
      <c r="I189" s="146"/>
      <c r="J189" s="146"/>
      <c r="K189" s="4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</row>
    <row r="190" spans="1:25" ht="13.5" customHeight="1">
      <c r="A190" s="3"/>
      <c r="B190" s="3"/>
      <c r="C190" s="148"/>
      <c r="D190" s="146"/>
      <c r="E190" s="146"/>
      <c r="F190" s="146"/>
      <c r="G190" s="146"/>
      <c r="H190" s="146"/>
      <c r="I190" s="146"/>
      <c r="J190" s="146"/>
      <c r="K190" s="4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</row>
    <row r="191" spans="1:25" ht="13.5" customHeight="1">
      <c r="A191" s="3"/>
      <c r="B191" s="3"/>
      <c r="C191" s="148"/>
      <c r="D191" s="146"/>
      <c r="E191" s="146"/>
      <c r="F191" s="146"/>
      <c r="G191" s="146"/>
      <c r="H191" s="146"/>
      <c r="I191" s="146"/>
      <c r="J191" s="146"/>
      <c r="K191" s="4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</row>
    <row r="192" spans="1:25" ht="13.5" customHeight="1">
      <c r="A192" s="3"/>
      <c r="B192" s="3"/>
      <c r="C192" s="148"/>
      <c r="D192" s="146"/>
      <c r="E192" s="146"/>
      <c r="F192" s="146"/>
      <c r="G192" s="146"/>
      <c r="H192" s="146"/>
      <c r="I192" s="146"/>
      <c r="J192" s="146"/>
      <c r="K192" s="4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</row>
    <row r="193" spans="1:25" ht="13.5" customHeight="1">
      <c r="A193" s="3"/>
      <c r="B193" s="3"/>
      <c r="C193" s="148"/>
      <c r="D193" s="146"/>
      <c r="E193" s="146"/>
      <c r="F193" s="146"/>
      <c r="G193" s="146"/>
      <c r="H193" s="146"/>
      <c r="I193" s="146"/>
      <c r="J193" s="146"/>
      <c r="K193" s="4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</row>
    <row r="194" spans="1:25" ht="13.5" customHeight="1">
      <c r="A194" s="3"/>
      <c r="B194" s="3"/>
      <c r="C194" s="148"/>
      <c r="D194" s="146"/>
      <c r="E194" s="146"/>
      <c r="F194" s="146"/>
      <c r="G194" s="146"/>
      <c r="H194" s="146"/>
      <c r="I194" s="146"/>
      <c r="J194" s="146"/>
      <c r="K194" s="4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</row>
    <row r="195" spans="1:25" ht="13.5" customHeight="1">
      <c r="A195" s="3"/>
      <c r="B195" s="3"/>
      <c r="C195" s="148"/>
      <c r="D195" s="146"/>
      <c r="E195" s="146"/>
      <c r="F195" s="146"/>
      <c r="G195" s="146"/>
      <c r="H195" s="146"/>
      <c r="I195" s="146"/>
      <c r="J195" s="146"/>
      <c r="K195" s="4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</row>
    <row r="196" spans="1:25" ht="13.5" customHeight="1">
      <c r="A196" s="3"/>
      <c r="B196" s="3"/>
      <c r="C196" s="148"/>
      <c r="D196" s="146"/>
      <c r="E196" s="146"/>
      <c r="F196" s="146"/>
      <c r="G196" s="146"/>
      <c r="H196" s="146"/>
      <c r="I196" s="146"/>
      <c r="J196" s="146"/>
      <c r="K196" s="4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</row>
    <row r="197" spans="1:25" ht="13.5" customHeight="1">
      <c r="A197" s="3"/>
      <c r="B197" s="3"/>
      <c r="C197" s="148"/>
      <c r="D197" s="146"/>
      <c r="E197" s="146"/>
      <c r="F197" s="146"/>
      <c r="G197" s="146"/>
      <c r="H197" s="146"/>
      <c r="I197" s="146"/>
      <c r="J197" s="146"/>
      <c r="K197" s="4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</row>
    <row r="198" spans="1:25" ht="13.5" customHeight="1">
      <c r="A198" s="3"/>
      <c r="B198" s="3"/>
      <c r="C198" s="148"/>
      <c r="D198" s="146"/>
      <c r="E198" s="146"/>
      <c r="F198" s="146"/>
      <c r="G198" s="146"/>
      <c r="H198" s="146"/>
      <c r="I198" s="146"/>
      <c r="J198" s="146"/>
      <c r="K198" s="4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</row>
    <row r="199" spans="1:25" ht="13.5" customHeight="1">
      <c r="A199" s="3"/>
      <c r="B199" s="3"/>
      <c r="C199" s="148"/>
      <c r="D199" s="146"/>
      <c r="E199" s="146"/>
      <c r="F199" s="146"/>
      <c r="G199" s="146"/>
      <c r="H199" s="146"/>
      <c r="I199" s="146"/>
      <c r="J199" s="146"/>
      <c r="K199" s="4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</row>
    <row r="200" spans="1:25" ht="13.5" customHeight="1">
      <c r="A200" s="3"/>
      <c r="B200" s="3"/>
      <c r="C200" s="148"/>
      <c r="D200" s="146"/>
      <c r="E200" s="146"/>
      <c r="F200" s="146"/>
      <c r="G200" s="146"/>
      <c r="H200" s="146"/>
      <c r="I200" s="146"/>
      <c r="J200" s="146"/>
      <c r="K200" s="4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</row>
    <row r="201" spans="1:25" ht="13.5" customHeight="1">
      <c r="A201" s="3"/>
      <c r="B201" s="3"/>
      <c r="C201" s="148"/>
      <c r="D201" s="146"/>
      <c r="E201" s="146"/>
      <c r="F201" s="146"/>
      <c r="G201" s="146"/>
      <c r="H201" s="146"/>
      <c r="I201" s="146"/>
      <c r="J201" s="146"/>
      <c r="K201" s="4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</row>
    <row r="202" spans="1:25" ht="13.5" customHeight="1">
      <c r="A202" s="3"/>
      <c r="B202" s="3"/>
      <c r="C202" s="148"/>
      <c r="D202" s="146"/>
      <c r="E202" s="146"/>
      <c r="F202" s="146"/>
      <c r="G202" s="146"/>
      <c r="H202" s="146"/>
      <c r="I202" s="146"/>
      <c r="J202" s="146"/>
      <c r="K202" s="4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</row>
    <row r="203" spans="1:25" ht="13.5" customHeight="1">
      <c r="A203" s="3"/>
      <c r="B203" s="3"/>
      <c r="C203" s="148"/>
      <c r="D203" s="146"/>
      <c r="E203" s="146"/>
      <c r="F203" s="146"/>
      <c r="G203" s="146"/>
      <c r="H203" s="146"/>
      <c r="I203" s="146"/>
      <c r="J203" s="146"/>
      <c r="K203" s="4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</row>
    <row r="204" spans="1:25" ht="13.5" customHeight="1">
      <c r="A204" s="3"/>
      <c r="B204" s="3"/>
      <c r="C204" s="148"/>
      <c r="D204" s="146"/>
      <c r="E204" s="146"/>
      <c r="F204" s="146"/>
      <c r="G204" s="146"/>
      <c r="H204" s="146"/>
      <c r="I204" s="146"/>
      <c r="J204" s="146"/>
      <c r="K204" s="4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</row>
    <row r="205" spans="1:25" ht="13.5" customHeight="1">
      <c r="A205" s="3"/>
      <c r="B205" s="3"/>
      <c r="C205" s="148"/>
      <c r="D205" s="146"/>
      <c r="E205" s="146"/>
      <c r="F205" s="146"/>
      <c r="G205" s="146"/>
      <c r="H205" s="146"/>
      <c r="I205" s="146"/>
      <c r="J205" s="146"/>
      <c r="K205" s="4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</row>
    <row r="206" spans="1:25" ht="13.5" customHeight="1">
      <c r="A206" s="3"/>
      <c r="B206" s="3"/>
      <c r="C206" s="148"/>
      <c r="D206" s="146"/>
      <c r="E206" s="146"/>
      <c r="F206" s="146"/>
      <c r="G206" s="146"/>
      <c r="H206" s="146"/>
      <c r="I206" s="146"/>
      <c r="J206" s="146"/>
      <c r="K206" s="4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</row>
    <row r="207" spans="1:25" ht="13.5" customHeight="1">
      <c r="A207" s="3"/>
      <c r="B207" s="3"/>
      <c r="C207" s="148"/>
      <c r="D207" s="146"/>
      <c r="E207" s="146"/>
      <c r="F207" s="146"/>
      <c r="G207" s="146"/>
      <c r="H207" s="146"/>
      <c r="I207" s="146"/>
      <c r="J207" s="146"/>
      <c r="K207" s="4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</row>
    <row r="208" spans="1:25" ht="13.5" customHeight="1">
      <c r="A208" s="3"/>
      <c r="B208" s="3"/>
      <c r="C208" s="148"/>
      <c r="D208" s="146"/>
      <c r="E208" s="146"/>
      <c r="F208" s="146"/>
      <c r="G208" s="146"/>
      <c r="H208" s="146"/>
      <c r="I208" s="146"/>
      <c r="J208" s="146"/>
      <c r="K208" s="4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</row>
    <row r="209" spans="1:25" ht="13.5" customHeight="1">
      <c r="A209" s="3"/>
      <c r="B209" s="3"/>
      <c r="C209" s="148"/>
      <c r="D209" s="146"/>
      <c r="E209" s="146"/>
      <c r="F209" s="146"/>
      <c r="G209" s="146"/>
      <c r="H209" s="146"/>
      <c r="I209" s="146"/>
      <c r="J209" s="146"/>
      <c r="K209" s="4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</row>
    <row r="210" spans="1:25" ht="13.5" customHeight="1">
      <c r="A210" s="3"/>
      <c r="B210" s="3"/>
      <c r="C210" s="148"/>
      <c r="D210" s="146"/>
      <c r="E210" s="146"/>
      <c r="F210" s="146"/>
      <c r="G210" s="146"/>
      <c r="H210" s="146"/>
      <c r="I210" s="146"/>
      <c r="J210" s="146"/>
      <c r="K210" s="4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</row>
    <row r="211" spans="1:25" ht="13.5" customHeight="1">
      <c r="A211" s="3"/>
      <c r="B211" s="3"/>
      <c r="C211" s="148"/>
      <c r="D211" s="146"/>
      <c r="E211" s="146"/>
      <c r="F211" s="146"/>
      <c r="G211" s="146"/>
      <c r="H211" s="146"/>
      <c r="I211" s="146"/>
      <c r="J211" s="146"/>
      <c r="K211" s="4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</row>
    <row r="212" spans="1:25" ht="13.5" customHeight="1">
      <c r="A212" s="3"/>
      <c r="B212" s="3"/>
      <c r="C212" s="148"/>
      <c r="D212" s="146"/>
      <c r="E212" s="146"/>
      <c r="F212" s="146"/>
      <c r="G212" s="146"/>
      <c r="H212" s="146"/>
      <c r="I212" s="146"/>
      <c r="J212" s="146"/>
      <c r="K212" s="4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</row>
    <row r="213" spans="1:25" ht="13.5" customHeight="1">
      <c r="A213" s="3"/>
      <c r="B213" s="3"/>
      <c r="C213" s="148"/>
      <c r="D213" s="146"/>
      <c r="E213" s="146"/>
      <c r="F213" s="146"/>
      <c r="G213" s="146"/>
      <c r="H213" s="146"/>
      <c r="I213" s="146"/>
      <c r="J213" s="146"/>
      <c r="K213" s="4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</row>
    <row r="214" spans="1:25" ht="13.5" customHeight="1">
      <c r="A214" s="3"/>
      <c r="B214" s="3"/>
      <c r="C214" s="148"/>
      <c r="D214" s="146"/>
      <c r="E214" s="146"/>
      <c r="F214" s="146"/>
      <c r="G214" s="146"/>
      <c r="H214" s="146"/>
      <c r="I214" s="146"/>
      <c r="J214" s="146"/>
      <c r="K214" s="4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</row>
    <row r="215" spans="1:25" ht="13.5" customHeight="1">
      <c r="A215" s="3"/>
      <c r="B215" s="3"/>
      <c r="C215" s="148"/>
      <c r="D215" s="146"/>
      <c r="E215" s="146"/>
      <c r="F215" s="146"/>
      <c r="G215" s="146"/>
      <c r="H215" s="146"/>
      <c r="I215" s="146"/>
      <c r="J215" s="146"/>
      <c r="K215" s="4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</row>
    <row r="216" spans="1:25" ht="13.5" customHeight="1">
      <c r="A216" s="3"/>
      <c r="B216" s="3"/>
      <c r="C216" s="148"/>
      <c r="D216" s="146"/>
      <c r="E216" s="146"/>
      <c r="F216" s="146"/>
      <c r="G216" s="146"/>
      <c r="H216" s="146"/>
      <c r="I216" s="146"/>
      <c r="J216" s="146"/>
      <c r="K216" s="4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</row>
    <row r="217" spans="1:25" ht="13.5" customHeight="1">
      <c r="A217" s="3"/>
      <c r="B217" s="3"/>
      <c r="C217" s="148"/>
      <c r="D217" s="146"/>
      <c r="E217" s="146"/>
      <c r="F217" s="146"/>
      <c r="G217" s="146"/>
      <c r="H217" s="146"/>
      <c r="I217" s="146"/>
      <c r="J217" s="146"/>
      <c r="K217" s="4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</row>
    <row r="218" spans="1:25" ht="13.5" customHeight="1">
      <c r="A218" s="3"/>
      <c r="B218" s="3"/>
      <c r="C218" s="148"/>
      <c r="D218" s="146"/>
      <c r="E218" s="146"/>
      <c r="F218" s="146"/>
      <c r="G218" s="146"/>
      <c r="H218" s="146"/>
      <c r="I218" s="146"/>
      <c r="J218" s="146"/>
      <c r="K218" s="4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</row>
    <row r="219" spans="1:25" ht="13.5" customHeight="1">
      <c r="A219" s="3"/>
      <c r="B219" s="3"/>
      <c r="C219" s="148"/>
      <c r="D219" s="146"/>
      <c r="E219" s="146"/>
      <c r="F219" s="146"/>
      <c r="G219" s="146"/>
      <c r="H219" s="146"/>
      <c r="I219" s="146"/>
      <c r="J219" s="146"/>
      <c r="K219" s="4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</row>
    <row r="220" spans="1:25" ht="13.5" customHeight="1">
      <c r="A220" s="3"/>
      <c r="B220" s="3"/>
      <c r="C220" s="148"/>
      <c r="D220" s="146"/>
      <c r="E220" s="146"/>
      <c r="F220" s="146"/>
      <c r="G220" s="146"/>
      <c r="H220" s="146"/>
      <c r="I220" s="146"/>
      <c r="J220" s="146"/>
      <c r="K220" s="4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</row>
    <row r="221" spans="1:25" ht="13.5" customHeight="1">
      <c r="A221" s="3"/>
      <c r="B221" s="3"/>
      <c r="C221" s="148"/>
      <c r="D221" s="146"/>
      <c r="E221" s="146"/>
      <c r="F221" s="146"/>
      <c r="G221" s="146"/>
      <c r="H221" s="146"/>
      <c r="I221" s="146"/>
      <c r="J221" s="146"/>
      <c r="K221" s="4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</row>
    <row r="222" spans="1:25" ht="13.5" customHeight="1">
      <c r="A222" s="3"/>
      <c r="B222" s="3"/>
      <c r="C222" s="148"/>
      <c r="D222" s="146"/>
      <c r="E222" s="146"/>
      <c r="F222" s="146"/>
      <c r="G222" s="146"/>
      <c r="H222" s="146"/>
      <c r="I222" s="146"/>
      <c r="J222" s="146"/>
      <c r="K222" s="4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</row>
    <row r="223" spans="1:25" ht="13.5" customHeight="1">
      <c r="A223" s="3"/>
      <c r="B223" s="3"/>
      <c r="C223" s="148"/>
      <c r="D223" s="146"/>
      <c r="E223" s="146"/>
      <c r="F223" s="146"/>
      <c r="G223" s="146"/>
      <c r="H223" s="146"/>
      <c r="I223" s="146"/>
      <c r="J223" s="146"/>
      <c r="K223" s="4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</row>
    <row r="224" spans="1:25" ht="13.5" customHeight="1">
      <c r="A224" s="3"/>
      <c r="B224" s="3"/>
      <c r="C224" s="148"/>
      <c r="D224" s="146"/>
      <c r="E224" s="146"/>
      <c r="F224" s="146"/>
      <c r="G224" s="146"/>
      <c r="H224" s="146"/>
      <c r="I224" s="146"/>
      <c r="J224" s="146"/>
      <c r="K224" s="4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</row>
    <row r="225" spans="1:25" ht="13.5" customHeight="1">
      <c r="A225" s="3"/>
      <c r="B225" s="3"/>
      <c r="C225" s="148"/>
      <c r="D225" s="146"/>
      <c r="E225" s="146"/>
      <c r="F225" s="146"/>
      <c r="G225" s="146"/>
      <c r="H225" s="146"/>
      <c r="I225" s="146"/>
      <c r="J225" s="146"/>
      <c r="K225" s="4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</row>
    <row r="226" spans="1:25" ht="13.5" customHeight="1">
      <c r="A226" s="3"/>
      <c r="B226" s="3"/>
      <c r="C226" s="148"/>
      <c r="D226" s="146"/>
      <c r="E226" s="146"/>
      <c r="F226" s="146"/>
      <c r="G226" s="146"/>
      <c r="H226" s="146"/>
      <c r="I226" s="146"/>
      <c r="J226" s="146"/>
      <c r="K226" s="4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</row>
    <row r="227" spans="1:25" ht="13.5" customHeight="1">
      <c r="A227" s="3"/>
      <c r="B227" s="3"/>
      <c r="C227" s="148"/>
      <c r="D227" s="146"/>
      <c r="E227" s="146"/>
      <c r="F227" s="146"/>
      <c r="G227" s="146"/>
      <c r="H227" s="146"/>
      <c r="I227" s="146"/>
      <c r="J227" s="146"/>
      <c r="K227" s="4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</row>
    <row r="228" spans="1:25" ht="13.5" customHeight="1">
      <c r="A228" s="3"/>
      <c r="B228" s="3"/>
      <c r="C228" s="148"/>
      <c r="D228" s="146"/>
      <c r="E228" s="146"/>
      <c r="F228" s="146"/>
      <c r="G228" s="146"/>
      <c r="H228" s="146"/>
      <c r="I228" s="146"/>
      <c r="J228" s="146"/>
      <c r="K228" s="4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</row>
    <row r="229" spans="1:25" ht="13.5" customHeight="1">
      <c r="A229" s="3"/>
      <c r="B229" s="3"/>
      <c r="C229" s="148"/>
      <c r="D229" s="146"/>
      <c r="E229" s="146"/>
      <c r="F229" s="146"/>
      <c r="G229" s="146"/>
      <c r="H229" s="146"/>
      <c r="I229" s="146"/>
      <c r="J229" s="146"/>
      <c r="K229" s="4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</row>
    <row r="230" spans="1:25" ht="13.5" customHeight="1">
      <c r="A230" s="3"/>
      <c r="B230" s="3"/>
      <c r="C230" s="148"/>
      <c r="D230" s="146"/>
      <c r="E230" s="146"/>
      <c r="F230" s="146"/>
      <c r="G230" s="146"/>
      <c r="H230" s="146"/>
      <c r="I230" s="146"/>
      <c r="J230" s="146"/>
      <c r="K230" s="4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</row>
    <row r="231" spans="1:25" ht="13.5" customHeight="1">
      <c r="A231" s="3"/>
      <c r="B231" s="3"/>
      <c r="C231" s="148"/>
      <c r="D231" s="146"/>
      <c r="E231" s="146"/>
      <c r="F231" s="146"/>
      <c r="G231" s="146"/>
      <c r="H231" s="146"/>
      <c r="I231" s="146"/>
      <c r="J231" s="146"/>
      <c r="K231" s="4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</row>
    <row r="232" spans="1:25" ht="13.5" customHeight="1">
      <c r="A232" s="3"/>
      <c r="B232" s="3"/>
      <c r="C232" s="148"/>
      <c r="D232" s="146"/>
      <c r="E232" s="146"/>
      <c r="F232" s="146"/>
      <c r="G232" s="146"/>
      <c r="H232" s="146"/>
      <c r="I232" s="146"/>
      <c r="J232" s="146"/>
      <c r="K232" s="4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</row>
    <row r="233" spans="1:25" ht="13.5" customHeight="1">
      <c r="A233" s="3"/>
      <c r="B233" s="3"/>
      <c r="C233" s="148"/>
      <c r="D233" s="146"/>
      <c r="E233" s="146"/>
      <c r="F233" s="146"/>
      <c r="G233" s="146"/>
      <c r="H233" s="146"/>
      <c r="I233" s="146"/>
      <c r="J233" s="146"/>
      <c r="K233" s="4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</row>
    <row r="234" spans="1:25" ht="13.5" customHeight="1">
      <c r="A234" s="3"/>
      <c r="B234" s="3"/>
      <c r="C234" s="148"/>
      <c r="D234" s="146"/>
      <c r="E234" s="146"/>
      <c r="F234" s="146"/>
      <c r="G234" s="146"/>
      <c r="H234" s="146"/>
      <c r="I234" s="146"/>
      <c r="J234" s="146"/>
      <c r="K234" s="4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</row>
    <row r="235" spans="1:25" ht="13.5" customHeight="1">
      <c r="A235" s="3"/>
      <c r="B235" s="3"/>
      <c r="C235" s="148"/>
      <c r="D235" s="146"/>
      <c r="E235" s="146"/>
      <c r="F235" s="146"/>
      <c r="G235" s="146"/>
      <c r="H235" s="146"/>
      <c r="I235" s="146"/>
      <c r="J235" s="146"/>
      <c r="K235" s="4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</row>
    <row r="236" spans="1:25" ht="13.5" customHeight="1">
      <c r="A236" s="3"/>
      <c r="B236" s="3"/>
      <c r="C236" s="148"/>
      <c r="D236" s="146"/>
      <c r="E236" s="146"/>
      <c r="F236" s="146"/>
      <c r="G236" s="146"/>
      <c r="H236" s="146"/>
      <c r="I236" s="146"/>
      <c r="J236" s="146"/>
      <c r="K236" s="4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</row>
    <row r="237" spans="1:25" ht="13.5" customHeight="1">
      <c r="A237" s="3"/>
      <c r="B237" s="3"/>
      <c r="C237" s="148"/>
      <c r="D237" s="146"/>
      <c r="E237" s="146"/>
      <c r="F237" s="146"/>
      <c r="G237" s="146"/>
      <c r="H237" s="146"/>
      <c r="I237" s="146"/>
      <c r="J237" s="146"/>
      <c r="K237" s="4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</row>
    <row r="238" spans="1:25" ht="13.5" customHeight="1">
      <c r="A238" s="3"/>
      <c r="B238" s="3"/>
      <c r="C238" s="148"/>
      <c r="D238" s="146"/>
      <c r="E238" s="146"/>
      <c r="F238" s="146"/>
      <c r="G238" s="146"/>
      <c r="H238" s="146"/>
      <c r="I238" s="146"/>
      <c r="J238" s="146"/>
      <c r="K238" s="4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</row>
    <row r="239" spans="1:25" ht="13.5" customHeight="1">
      <c r="A239" s="3"/>
      <c r="B239" s="3"/>
      <c r="C239" s="148"/>
      <c r="D239" s="146"/>
      <c r="E239" s="146"/>
      <c r="F239" s="146"/>
      <c r="G239" s="146"/>
      <c r="H239" s="146"/>
      <c r="I239" s="146"/>
      <c r="J239" s="146"/>
      <c r="K239" s="4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</row>
    <row r="240" spans="1:25" ht="13.5" customHeight="1">
      <c r="A240" s="3"/>
      <c r="B240" s="3"/>
      <c r="C240" s="148"/>
      <c r="D240" s="146"/>
      <c r="E240" s="146"/>
      <c r="F240" s="146"/>
      <c r="G240" s="146"/>
      <c r="H240" s="146"/>
      <c r="I240" s="146"/>
      <c r="J240" s="146"/>
      <c r="K240" s="4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</row>
    <row r="241" spans="1:25" ht="13.5" customHeight="1">
      <c r="A241" s="3"/>
      <c r="B241" s="3"/>
      <c r="C241" s="148"/>
      <c r="D241" s="146"/>
      <c r="E241" s="146"/>
      <c r="F241" s="146"/>
      <c r="G241" s="146"/>
      <c r="H241" s="146"/>
      <c r="I241" s="146"/>
      <c r="J241" s="146"/>
      <c r="K241" s="4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</row>
    <row r="242" spans="1:25" ht="13.5" customHeight="1">
      <c r="A242" s="3"/>
      <c r="B242" s="3"/>
      <c r="C242" s="148"/>
      <c r="D242" s="146"/>
      <c r="E242" s="146"/>
      <c r="F242" s="146"/>
      <c r="G242" s="146"/>
      <c r="H242" s="146"/>
      <c r="I242" s="146"/>
      <c r="J242" s="146"/>
      <c r="K242" s="4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</row>
    <row r="243" spans="1:25" ht="13.5" customHeight="1">
      <c r="A243" s="3"/>
      <c r="B243" s="3"/>
      <c r="C243" s="148"/>
      <c r="D243" s="146"/>
      <c r="E243" s="146"/>
      <c r="F243" s="146"/>
      <c r="G243" s="146"/>
      <c r="H243" s="146"/>
      <c r="I243" s="146"/>
      <c r="J243" s="146"/>
      <c r="K243" s="4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</row>
    <row r="244" spans="1:25" ht="13.5" customHeight="1">
      <c r="A244" s="3"/>
      <c r="B244" s="3"/>
      <c r="C244" s="148"/>
      <c r="D244" s="146"/>
      <c r="E244" s="146"/>
      <c r="F244" s="146"/>
      <c r="G244" s="146"/>
      <c r="H244" s="146"/>
      <c r="I244" s="146"/>
      <c r="J244" s="146"/>
      <c r="K244" s="4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</row>
    <row r="245" spans="1:25" ht="13.5" customHeight="1">
      <c r="A245" s="3"/>
      <c r="B245" s="3"/>
      <c r="C245" s="148"/>
      <c r="D245" s="146"/>
      <c r="E245" s="146"/>
      <c r="F245" s="146"/>
      <c r="G245" s="146"/>
      <c r="H245" s="146"/>
      <c r="I245" s="146"/>
      <c r="J245" s="146"/>
      <c r="K245" s="4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</row>
    <row r="246" spans="1:25" ht="13.5" customHeight="1">
      <c r="A246" s="3"/>
      <c r="B246" s="3"/>
      <c r="C246" s="148"/>
      <c r="D246" s="146"/>
      <c r="E246" s="146"/>
      <c r="F246" s="146"/>
      <c r="G246" s="146"/>
      <c r="H246" s="146"/>
      <c r="I246" s="146"/>
      <c r="J246" s="146"/>
      <c r="K246" s="4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</row>
    <row r="247" spans="1:25" ht="13.5" customHeight="1">
      <c r="A247" s="3"/>
      <c r="B247" s="3"/>
      <c r="C247" s="148"/>
      <c r="D247" s="146"/>
      <c r="E247" s="146"/>
      <c r="F247" s="146"/>
      <c r="G247" s="146"/>
      <c r="H247" s="146"/>
      <c r="I247" s="146"/>
      <c r="J247" s="146"/>
      <c r="K247" s="4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</row>
    <row r="248" spans="1:25" ht="13.5" customHeight="1">
      <c r="A248" s="3"/>
      <c r="B248" s="3"/>
      <c r="C248" s="148"/>
      <c r="D248" s="146"/>
      <c r="E248" s="146"/>
      <c r="F248" s="146"/>
      <c r="G248" s="146"/>
      <c r="H248" s="146"/>
      <c r="I248" s="146"/>
      <c r="J248" s="146"/>
      <c r="K248" s="4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</row>
    <row r="249" spans="1:25" ht="13.5" customHeight="1">
      <c r="A249" s="3"/>
      <c r="B249" s="3"/>
      <c r="C249" s="148"/>
      <c r="D249" s="146"/>
      <c r="E249" s="146"/>
      <c r="F249" s="146"/>
      <c r="G249" s="146"/>
      <c r="H249" s="146"/>
      <c r="I249" s="146"/>
      <c r="J249" s="146"/>
      <c r="K249" s="4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</row>
    <row r="250" spans="1:25" ht="13.5" customHeight="1">
      <c r="A250" s="3"/>
      <c r="B250" s="3"/>
      <c r="C250" s="148"/>
      <c r="D250" s="146"/>
      <c r="E250" s="146"/>
      <c r="F250" s="146"/>
      <c r="G250" s="146"/>
      <c r="H250" s="146"/>
      <c r="I250" s="146"/>
      <c r="J250" s="146"/>
      <c r="K250" s="4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</row>
    <row r="251" spans="1:25" ht="13.5" customHeight="1">
      <c r="A251" s="3"/>
      <c r="B251" s="3"/>
      <c r="C251" s="148"/>
      <c r="D251" s="146"/>
      <c r="E251" s="146"/>
      <c r="F251" s="146"/>
      <c r="G251" s="146"/>
      <c r="H251" s="146"/>
      <c r="I251" s="146"/>
      <c r="J251" s="146"/>
      <c r="K251" s="4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</row>
    <row r="252" spans="1:25" ht="13.5" customHeight="1">
      <c r="A252" s="3"/>
      <c r="B252" s="3"/>
      <c r="C252" s="148"/>
      <c r="D252" s="146"/>
      <c r="E252" s="146"/>
      <c r="F252" s="146"/>
      <c r="G252" s="146"/>
      <c r="H252" s="146"/>
      <c r="I252" s="146"/>
      <c r="J252" s="146"/>
      <c r="K252" s="4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</row>
    <row r="253" spans="1:25" ht="13.5" customHeight="1">
      <c r="A253" s="3"/>
      <c r="B253" s="3"/>
      <c r="C253" s="148"/>
      <c r="D253" s="146"/>
      <c r="E253" s="146"/>
      <c r="F253" s="146"/>
      <c r="G253" s="146"/>
      <c r="H253" s="146"/>
      <c r="I253" s="146"/>
      <c r="J253" s="146"/>
      <c r="K253" s="4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</row>
    <row r="254" spans="1:25" ht="13.5" customHeight="1">
      <c r="A254" s="3"/>
      <c r="B254" s="3"/>
      <c r="C254" s="148"/>
      <c r="D254" s="146"/>
      <c r="E254" s="146"/>
      <c r="F254" s="146"/>
      <c r="G254" s="146"/>
      <c r="H254" s="146"/>
      <c r="I254" s="146"/>
      <c r="J254" s="146"/>
      <c r="K254" s="4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</row>
    <row r="255" spans="1:25" ht="13.5" customHeight="1">
      <c r="A255" s="3"/>
      <c r="B255" s="3"/>
      <c r="C255" s="148"/>
      <c r="D255" s="146"/>
      <c r="E255" s="146"/>
      <c r="F255" s="146"/>
      <c r="G255" s="146"/>
      <c r="H255" s="146"/>
      <c r="I255" s="146"/>
      <c r="J255" s="146"/>
      <c r="K255" s="4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</row>
    <row r="256" spans="1:25" ht="13.5" customHeight="1">
      <c r="A256" s="3"/>
      <c r="B256" s="3"/>
      <c r="C256" s="148"/>
      <c r="D256" s="146"/>
      <c r="E256" s="146"/>
      <c r="F256" s="146"/>
      <c r="G256" s="146"/>
      <c r="H256" s="146"/>
      <c r="I256" s="146"/>
      <c r="J256" s="146"/>
      <c r="K256" s="4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</row>
    <row r="257" spans="1:25" ht="13.5" customHeight="1">
      <c r="A257" s="3"/>
      <c r="B257" s="3"/>
      <c r="C257" s="148"/>
      <c r="D257" s="146"/>
      <c r="E257" s="146"/>
      <c r="F257" s="146"/>
      <c r="G257" s="146"/>
      <c r="H257" s="146"/>
      <c r="I257" s="146"/>
      <c r="J257" s="146"/>
      <c r="K257" s="4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</row>
    <row r="258" spans="1:25" ht="13.5" customHeight="1">
      <c r="A258" s="3"/>
      <c r="B258" s="3"/>
      <c r="C258" s="148"/>
      <c r="D258" s="146"/>
      <c r="E258" s="146"/>
      <c r="F258" s="146"/>
      <c r="G258" s="146"/>
      <c r="H258" s="146"/>
      <c r="I258" s="146"/>
      <c r="J258" s="146"/>
      <c r="K258" s="4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</row>
    <row r="259" spans="1:25" ht="13.5" customHeight="1">
      <c r="A259" s="3"/>
      <c r="B259" s="3"/>
      <c r="C259" s="148"/>
      <c r="D259" s="146"/>
      <c r="E259" s="146"/>
      <c r="F259" s="146"/>
      <c r="G259" s="146"/>
      <c r="H259" s="146"/>
      <c r="I259" s="146"/>
      <c r="J259" s="146"/>
      <c r="K259" s="4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</row>
    <row r="260" spans="1:25" ht="13.5" customHeight="1">
      <c r="A260" s="3"/>
      <c r="B260" s="3"/>
      <c r="C260" s="148"/>
      <c r="D260" s="146"/>
      <c r="E260" s="146"/>
      <c r="F260" s="146"/>
      <c r="G260" s="146"/>
      <c r="H260" s="146"/>
      <c r="I260" s="146"/>
      <c r="J260" s="146"/>
      <c r="K260" s="4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</row>
    <row r="261" spans="1:25" ht="13.5" customHeight="1">
      <c r="A261" s="3"/>
      <c r="B261" s="3"/>
      <c r="C261" s="148"/>
      <c r="D261" s="146"/>
      <c r="E261" s="146"/>
      <c r="F261" s="146"/>
      <c r="G261" s="146"/>
      <c r="H261" s="146"/>
      <c r="I261" s="146"/>
      <c r="J261" s="146"/>
      <c r="K261" s="4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</row>
    <row r="262" spans="1:25" ht="13.5" customHeight="1">
      <c r="A262" s="3"/>
      <c r="B262" s="3"/>
      <c r="C262" s="148"/>
      <c r="D262" s="146"/>
      <c r="E262" s="146"/>
      <c r="F262" s="146"/>
      <c r="G262" s="146"/>
      <c r="H262" s="146"/>
      <c r="I262" s="146"/>
      <c r="J262" s="146"/>
      <c r="K262" s="4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</row>
    <row r="263" spans="1:25" ht="13.5" customHeight="1">
      <c r="A263" s="3"/>
      <c r="B263" s="3"/>
      <c r="C263" s="148"/>
      <c r="D263" s="146"/>
      <c r="E263" s="146"/>
      <c r="F263" s="146"/>
      <c r="G263" s="146"/>
      <c r="H263" s="146"/>
      <c r="I263" s="146"/>
      <c r="J263" s="146"/>
      <c r="K263" s="4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</row>
    <row r="264" spans="1:25" ht="13.5" customHeight="1">
      <c r="A264" s="3"/>
      <c r="B264" s="3"/>
      <c r="C264" s="148"/>
      <c r="D264" s="146"/>
      <c r="E264" s="146"/>
      <c r="F264" s="146"/>
      <c r="G264" s="146"/>
      <c r="H264" s="146"/>
      <c r="I264" s="146"/>
      <c r="J264" s="146"/>
      <c r="K264" s="4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</row>
    <row r="265" spans="1:25" ht="13.5" customHeight="1">
      <c r="A265" s="3"/>
      <c r="B265" s="3"/>
      <c r="C265" s="148"/>
      <c r="D265" s="146"/>
      <c r="E265" s="146"/>
      <c r="F265" s="146"/>
      <c r="G265" s="146"/>
      <c r="H265" s="146"/>
      <c r="I265" s="146"/>
      <c r="J265" s="146"/>
      <c r="K265" s="4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</row>
    <row r="266" spans="1:25" ht="13.5" customHeight="1">
      <c r="A266" s="3"/>
      <c r="B266" s="3"/>
      <c r="C266" s="148"/>
      <c r="D266" s="146"/>
      <c r="E266" s="146"/>
      <c r="F266" s="146"/>
      <c r="G266" s="146"/>
      <c r="H266" s="146"/>
      <c r="I266" s="146"/>
      <c r="J266" s="146"/>
      <c r="K266" s="4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</row>
    <row r="267" spans="1:25" ht="15.75" customHeight="1">
      <c r="C267" s="173"/>
    </row>
    <row r="268" spans="1:25" ht="15.75" customHeight="1">
      <c r="C268" s="173"/>
    </row>
    <row r="269" spans="1:25" ht="15.75" customHeight="1">
      <c r="C269" s="173"/>
    </row>
    <row r="270" spans="1:25" ht="15.75" customHeight="1">
      <c r="C270" s="173"/>
    </row>
    <row r="271" spans="1:25" ht="15.75" customHeight="1">
      <c r="C271" s="173"/>
    </row>
    <row r="272" spans="1:25" ht="15.75" customHeight="1">
      <c r="C272" s="173"/>
    </row>
    <row r="273" spans="3:3" ht="15.75" customHeight="1">
      <c r="C273" s="173"/>
    </row>
    <row r="274" spans="3:3" ht="15.75" customHeight="1">
      <c r="C274" s="173"/>
    </row>
    <row r="275" spans="3:3" ht="15.75" customHeight="1">
      <c r="C275" s="173"/>
    </row>
    <row r="276" spans="3:3" ht="15.75" customHeight="1">
      <c r="C276" s="173"/>
    </row>
    <row r="277" spans="3:3" ht="15.75" customHeight="1">
      <c r="C277" s="173"/>
    </row>
    <row r="278" spans="3:3" ht="15.75" customHeight="1">
      <c r="C278" s="173"/>
    </row>
    <row r="279" spans="3:3" ht="15.75" customHeight="1">
      <c r="C279" s="173"/>
    </row>
    <row r="280" spans="3:3" ht="15.75" customHeight="1">
      <c r="C280" s="173"/>
    </row>
    <row r="281" spans="3:3" ht="15.75" customHeight="1">
      <c r="C281" s="173"/>
    </row>
    <row r="282" spans="3:3" ht="15.75" customHeight="1">
      <c r="C282" s="173"/>
    </row>
    <row r="283" spans="3:3" ht="15.75" customHeight="1">
      <c r="C283" s="173"/>
    </row>
    <row r="284" spans="3:3" ht="15.75" customHeight="1">
      <c r="C284" s="173"/>
    </row>
    <row r="285" spans="3:3" ht="15.75" customHeight="1">
      <c r="C285" s="173"/>
    </row>
    <row r="286" spans="3:3" ht="15.75" customHeight="1">
      <c r="C286" s="173"/>
    </row>
    <row r="287" spans="3:3" ht="15.75" customHeight="1">
      <c r="C287" s="173"/>
    </row>
    <row r="288" spans="3:3" ht="15.75" customHeight="1">
      <c r="C288" s="173"/>
    </row>
    <row r="289" spans="3:3" ht="15.75" customHeight="1">
      <c r="C289" s="173"/>
    </row>
    <row r="290" spans="3:3" ht="15.75" customHeight="1">
      <c r="C290" s="173"/>
    </row>
    <row r="291" spans="3:3" ht="15.75" customHeight="1">
      <c r="C291" s="173"/>
    </row>
    <row r="292" spans="3:3" ht="15.75" customHeight="1">
      <c r="C292" s="173"/>
    </row>
    <row r="293" spans="3:3" ht="15.75" customHeight="1">
      <c r="C293" s="173"/>
    </row>
    <row r="294" spans="3:3" ht="15.75" customHeight="1">
      <c r="C294" s="173"/>
    </row>
    <row r="295" spans="3:3" ht="15.75" customHeight="1">
      <c r="C295" s="173"/>
    </row>
    <row r="296" spans="3:3" ht="15.75" customHeight="1">
      <c r="C296" s="173"/>
    </row>
    <row r="297" spans="3:3" ht="15.75" customHeight="1">
      <c r="C297" s="173"/>
    </row>
    <row r="298" spans="3:3" ht="15.75" customHeight="1">
      <c r="C298" s="173"/>
    </row>
    <row r="299" spans="3:3" ht="15.75" customHeight="1">
      <c r="C299" s="173"/>
    </row>
    <row r="300" spans="3:3" ht="15.75" customHeight="1">
      <c r="C300" s="173"/>
    </row>
    <row r="301" spans="3:3" ht="15.75" customHeight="1">
      <c r="C301" s="173"/>
    </row>
    <row r="302" spans="3:3" ht="15.75" customHeight="1">
      <c r="C302" s="173"/>
    </row>
    <row r="303" spans="3:3" ht="15.75" customHeight="1">
      <c r="C303" s="173"/>
    </row>
    <row r="304" spans="3:3" ht="15.75" customHeight="1">
      <c r="C304" s="173"/>
    </row>
    <row r="305" spans="3:3" ht="15.75" customHeight="1">
      <c r="C305" s="173"/>
    </row>
    <row r="306" spans="3:3" ht="15.75" customHeight="1">
      <c r="C306" s="173"/>
    </row>
    <row r="307" spans="3:3" ht="15.75" customHeight="1">
      <c r="C307" s="173"/>
    </row>
    <row r="308" spans="3:3" ht="15.75" customHeight="1">
      <c r="C308" s="173"/>
    </row>
    <row r="309" spans="3:3" ht="15.75" customHeight="1">
      <c r="C309" s="173"/>
    </row>
    <row r="310" spans="3:3" ht="15.75" customHeight="1">
      <c r="C310" s="173"/>
    </row>
    <row r="311" spans="3:3" ht="15.75" customHeight="1">
      <c r="C311" s="173"/>
    </row>
    <row r="312" spans="3:3" ht="15.75" customHeight="1">
      <c r="C312" s="173"/>
    </row>
    <row r="313" spans="3:3" ht="15.75" customHeight="1">
      <c r="C313" s="173"/>
    </row>
    <row r="314" spans="3:3" ht="15.75" customHeight="1">
      <c r="C314" s="173"/>
    </row>
    <row r="315" spans="3:3" ht="15.75" customHeight="1">
      <c r="C315" s="173"/>
    </row>
    <row r="316" spans="3:3" ht="15.75" customHeight="1">
      <c r="C316" s="173"/>
    </row>
    <row r="317" spans="3:3" ht="15.75" customHeight="1">
      <c r="C317" s="173"/>
    </row>
    <row r="318" spans="3:3" ht="15.75" customHeight="1">
      <c r="C318" s="173"/>
    </row>
    <row r="319" spans="3:3" ht="15.75" customHeight="1">
      <c r="C319" s="173"/>
    </row>
    <row r="320" spans="3:3" ht="15.75" customHeight="1">
      <c r="C320" s="173"/>
    </row>
    <row r="321" spans="3:3" ht="15.75" customHeight="1">
      <c r="C321" s="173"/>
    </row>
    <row r="322" spans="3:3" ht="15.75" customHeight="1">
      <c r="C322" s="173"/>
    </row>
    <row r="323" spans="3:3" ht="15.75" customHeight="1">
      <c r="C323" s="173"/>
    </row>
    <row r="324" spans="3:3" ht="15.75" customHeight="1">
      <c r="C324" s="173"/>
    </row>
    <row r="325" spans="3:3" ht="15.75" customHeight="1">
      <c r="C325" s="173"/>
    </row>
    <row r="326" spans="3:3" ht="15.75" customHeight="1">
      <c r="C326" s="173"/>
    </row>
    <row r="327" spans="3:3" ht="15.75" customHeight="1">
      <c r="C327" s="173"/>
    </row>
    <row r="328" spans="3:3" ht="15.75" customHeight="1">
      <c r="C328" s="173"/>
    </row>
    <row r="329" spans="3:3" ht="15.75" customHeight="1">
      <c r="C329" s="173"/>
    </row>
    <row r="330" spans="3:3" ht="15.75" customHeight="1">
      <c r="C330" s="173"/>
    </row>
    <row r="331" spans="3:3" ht="15.75" customHeight="1">
      <c r="C331" s="173"/>
    </row>
    <row r="332" spans="3:3" ht="15.75" customHeight="1">
      <c r="C332" s="173"/>
    </row>
    <row r="333" spans="3:3" ht="15.75" customHeight="1">
      <c r="C333" s="173"/>
    </row>
    <row r="334" spans="3:3" ht="15.75" customHeight="1">
      <c r="C334" s="173"/>
    </row>
    <row r="335" spans="3:3" ht="15.75" customHeight="1">
      <c r="C335" s="173"/>
    </row>
    <row r="336" spans="3:3" ht="15.75" customHeight="1">
      <c r="C336" s="173"/>
    </row>
    <row r="337" spans="3:3" ht="15.75" customHeight="1">
      <c r="C337" s="173"/>
    </row>
    <row r="338" spans="3:3" ht="15.75" customHeight="1">
      <c r="C338" s="173"/>
    </row>
    <row r="339" spans="3:3" ht="15.75" customHeight="1">
      <c r="C339" s="173"/>
    </row>
    <row r="340" spans="3:3" ht="15.75" customHeight="1">
      <c r="C340" s="173"/>
    </row>
    <row r="341" spans="3:3" ht="15.75" customHeight="1">
      <c r="C341" s="173"/>
    </row>
    <row r="342" spans="3:3" ht="15.75" customHeight="1">
      <c r="C342" s="173"/>
    </row>
    <row r="343" spans="3:3" ht="15.75" customHeight="1">
      <c r="C343" s="173"/>
    </row>
    <row r="344" spans="3:3" ht="15.75" customHeight="1">
      <c r="C344" s="173"/>
    </row>
    <row r="345" spans="3:3" ht="15.75" customHeight="1">
      <c r="C345" s="173"/>
    </row>
    <row r="346" spans="3:3" ht="15.75" customHeight="1">
      <c r="C346" s="173"/>
    </row>
    <row r="347" spans="3:3" ht="15.75" customHeight="1">
      <c r="C347" s="173"/>
    </row>
    <row r="348" spans="3:3" ht="15.75" customHeight="1">
      <c r="C348" s="173"/>
    </row>
    <row r="349" spans="3:3" ht="15.75" customHeight="1">
      <c r="C349" s="173"/>
    </row>
    <row r="350" spans="3:3" ht="15.75" customHeight="1">
      <c r="C350" s="173"/>
    </row>
    <row r="351" spans="3:3" ht="15.75" customHeight="1">
      <c r="C351" s="173"/>
    </row>
    <row r="352" spans="3:3" ht="15.75" customHeight="1">
      <c r="C352" s="173"/>
    </row>
    <row r="353" spans="3:3" ht="15.75" customHeight="1">
      <c r="C353" s="173"/>
    </row>
    <row r="354" spans="3:3" ht="15.75" customHeight="1">
      <c r="C354" s="173"/>
    </row>
    <row r="355" spans="3:3" ht="15.75" customHeight="1">
      <c r="C355" s="173"/>
    </row>
    <row r="356" spans="3:3" ht="15.75" customHeight="1">
      <c r="C356" s="173"/>
    </row>
    <row r="357" spans="3:3" ht="15.75" customHeight="1">
      <c r="C357" s="173"/>
    </row>
    <row r="358" spans="3:3" ht="15.75" customHeight="1">
      <c r="C358" s="173"/>
    </row>
    <row r="359" spans="3:3" ht="15.75" customHeight="1">
      <c r="C359" s="173"/>
    </row>
    <row r="360" spans="3:3" ht="15.75" customHeight="1">
      <c r="C360" s="173"/>
    </row>
    <row r="361" spans="3:3" ht="15.75" customHeight="1">
      <c r="C361" s="173"/>
    </row>
    <row r="362" spans="3:3" ht="15.75" customHeight="1">
      <c r="C362" s="173"/>
    </row>
    <row r="363" spans="3:3" ht="15.75" customHeight="1">
      <c r="C363" s="173"/>
    </row>
    <row r="364" spans="3:3" ht="15.75" customHeight="1">
      <c r="C364" s="173"/>
    </row>
    <row r="365" spans="3:3" ht="15.75" customHeight="1">
      <c r="C365" s="173"/>
    </row>
    <row r="366" spans="3:3" ht="15.75" customHeight="1">
      <c r="C366" s="173"/>
    </row>
    <row r="367" spans="3:3" ht="15.75" customHeight="1">
      <c r="C367" s="173"/>
    </row>
    <row r="368" spans="3:3" ht="15.75" customHeight="1">
      <c r="C368" s="173"/>
    </row>
    <row r="369" spans="3:3" ht="15.75" customHeight="1">
      <c r="C369" s="173"/>
    </row>
    <row r="370" spans="3:3" ht="15.75" customHeight="1">
      <c r="C370" s="173"/>
    </row>
    <row r="371" spans="3:3" ht="15.75" customHeight="1">
      <c r="C371" s="173"/>
    </row>
    <row r="372" spans="3:3" ht="15.75" customHeight="1">
      <c r="C372" s="173"/>
    </row>
    <row r="373" spans="3:3" ht="15.75" customHeight="1">
      <c r="C373" s="173"/>
    </row>
    <row r="374" spans="3:3" ht="15.75" customHeight="1">
      <c r="C374" s="173"/>
    </row>
    <row r="375" spans="3:3" ht="15.75" customHeight="1">
      <c r="C375" s="173"/>
    </row>
    <row r="376" spans="3:3" ht="15.75" customHeight="1">
      <c r="C376" s="173"/>
    </row>
    <row r="377" spans="3:3" ht="15.75" customHeight="1">
      <c r="C377" s="173"/>
    </row>
    <row r="378" spans="3:3" ht="15.75" customHeight="1">
      <c r="C378" s="173"/>
    </row>
    <row r="379" spans="3:3" ht="15.75" customHeight="1">
      <c r="C379" s="173"/>
    </row>
    <row r="380" spans="3:3" ht="15.75" customHeight="1">
      <c r="C380" s="173"/>
    </row>
    <row r="381" spans="3:3" ht="15.75" customHeight="1">
      <c r="C381" s="173"/>
    </row>
    <row r="382" spans="3:3" ht="15.75" customHeight="1">
      <c r="C382" s="173"/>
    </row>
    <row r="383" spans="3:3" ht="15.75" customHeight="1">
      <c r="C383" s="173"/>
    </row>
    <row r="384" spans="3:3" ht="15.75" customHeight="1">
      <c r="C384" s="173"/>
    </row>
    <row r="385" spans="3:3" ht="15.75" customHeight="1">
      <c r="C385" s="173"/>
    </row>
    <row r="386" spans="3:3" ht="15.75" customHeight="1">
      <c r="C386" s="173"/>
    </row>
    <row r="387" spans="3:3" ht="15.75" customHeight="1">
      <c r="C387" s="173"/>
    </row>
    <row r="388" spans="3:3" ht="15.75" customHeight="1">
      <c r="C388" s="173"/>
    </row>
    <row r="389" spans="3:3" ht="15.75" customHeight="1">
      <c r="C389" s="173"/>
    </row>
    <row r="390" spans="3:3" ht="15.75" customHeight="1">
      <c r="C390" s="173"/>
    </row>
    <row r="391" spans="3:3" ht="15.75" customHeight="1">
      <c r="C391" s="173"/>
    </row>
    <row r="392" spans="3:3" ht="15.75" customHeight="1">
      <c r="C392" s="173"/>
    </row>
    <row r="393" spans="3:3" ht="15.75" customHeight="1">
      <c r="C393" s="173"/>
    </row>
    <row r="394" spans="3:3" ht="15.75" customHeight="1">
      <c r="C394" s="173"/>
    </row>
    <row r="395" spans="3:3" ht="15.75" customHeight="1">
      <c r="C395" s="173"/>
    </row>
    <row r="396" spans="3:3" ht="15.75" customHeight="1">
      <c r="C396" s="173"/>
    </row>
    <row r="397" spans="3:3" ht="15.75" customHeight="1">
      <c r="C397" s="173"/>
    </row>
    <row r="398" spans="3:3" ht="15.75" customHeight="1">
      <c r="C398" s="173"/>
    </row>
    <row r="399" spans="3:3" ht="15.75" customHeight="1">
      <c r="C399" s="173"/>
    </row>
    <row r="400" spans="3:3" ht="15.75" customHeight="1">
      <c r="C400" s="173"/>
    </row>
    <row r="401" spans="3:3" ht="15.75" customHeight="1">
      <c r="C401" s="173"/>
    </row>
    <row r="402" spans="3:3" ht="15.75" customHeight="1">
      <c r="C402" s="173"/>
    </row>
    <row r="403" spans="3:3" ht="15.75" customHeight="1">
      <c r="C403" s="173"/>
    </row>
    <row r="404" spans="3:3" ht="15.75" customHeight="1">
      <c r="C404" s="173"/>
    </row>
    <row r="405" spans="3:3" ht="15.75" customHeight="1">
      <c r="C405" s="173"/>
    </row>
    <row r="406" spans="3:3" ht="15.75" customHeight="1">
      <c r="C406" s="173"/>
    </row>
    <row r="407" spans="3:3" ht="15.75" customHeight="1">
      <c r="C407" s="173"/>
    </row>
    <row r="408" spans="3:3" ht="15.75" customHeight="1">
      <c r="C408" s="173"/>
    </row>
    <row r="409" spans="3:3" ht="15.75" customHeight="1">
      <c r="C409" s="173"/>
    </row>
    <row r="410" spans="3:3" ht="15.75" customHeight="1">
      <c r="C410" s="173"/>
    </row>
    <row r="411" spans="3:3" ht="15.75" customHeight="1">
      <c r="C411" s="173"/>
    </row>
    <row r="412" spans="3:3" ht="15.75" customHeight="1">
      <c r="C412" s="173"/>
    </row>
    <row r="413" spans="3:3" ht="15.75" customHeight="1">
      <c r="C413" s="173"/>
    </row>
    <row r="414" spans="3:3" ht="15.75" customHeight="1">
      <c r="C414" s="173"/>
    </row>
    <row r="415" spans="3:3" ht="15.75" customHeight="1">
      <c r="C415" s="173"/>
    </row>
    <row r="416" spans="3:3" ht="15.75" customHeight="1">
      <c r="C416" s="173"/>
    </row>
    <row r="417" spans="3:3" ht="15.75" customHeight="1">
      <c r="C417" s="173"/>
    </row>
    <row r="418" spans="3:3" ht="15.75" customHeight="1">
      <c r="C418" s="173"/>
    </row>
    <row r="419" spans="3:3" ht="15.75" customHeight="1">
      <c r="C419" s="173"/>
    </row>
    <row r="420" spans="3:3" ht="15.75" customHeight="1">
      <c r="C420" s="173"/>
    </row>
    <row r="421" spans="3:3" ht="15.75" customHeight="1">
      <c r="C421" s="173"/>
    </row>
    <row r="422" spans="3:3" ht="15.75" customHeight="1">
      <c r="C422" s="173"/>
    </row>
    <row r="423" spans="3:3" ht="15.75" customHeight="1">
      <c r="C423" s="173"/>
    </row>
    <row r="424" spans="3:3" ht="15.75" customHeight="1">
      <c r="C424" s="173"/>
    </row>
    <row r="425" spans="3:3" ht="15.75" customHeight="1">
      <c r="C425" s="173"/>
    </row>
    <row r="426" spans="3:3" ht="15.75" customHeight="1">
      <c r="C426" s="173"/>
    </row>
    <row r="427" spans="3:3" ht="15.75" customHeight="1">
      <c r="C427" s="173"/>
    </row>
    <row r="428" spans="3:3" ht="15.75" customHeight="1">
      <c r="C428" s="173"/>
    </row>
    <row r="429" spans="3:3" ht="15.75" customHeight="1">
      <c r="C429" s="173"/>
    </row>
    <row r="430" spans="3:3" ht="15.75" customHeight="1">
      <c r="C430" s="173"/>
    </row>
    <row r="431" spans="3:3" ht="15.75" customHeight="1">
      <c r="C431" s="173"/>
    </row>
    <row r="432" spans="3:3" ht="15.75" customHeight="1">
      <c r="C432" s="173"/>
    </row>
    <row r="433" spans="3:3" ht="15.75" customHeight="1">
      <c r="C433" s="173"/>
    </row>
    <row r="434" spans="3:3" ht="15.75" customHeight="1">
      <c r="C434" s="173"/>
    </row>
    <row r="435" spans="3:3" ht="15.75" customHeight="1">
      <c r="C435" s="173"/>
    </row>
    <row r="436" spans="3:3" ht="15.75" customHeight="1">
      <c r="C436" s="173"/>
    </row>
    <row r="437" spans="3:3" ht="15.75" customHeight="1">
      <c r="C437" s="173"/>
    </row>
    <row r="438" spans="3:3" ht="15.75" customHeight="1">
      <c r="C438" s="173"/>
    </row>
    <row r="439" spans="3:3" ht="15.75" customHeight="1">
      <c r="C439" s="173"/>
    </row>
    <row r="440" spans="3:3" ht="15.75" customHeight="1">
      <c r="C440" s="173"/>
    </row>
    <row r="441" spans="3:3" ht="15.75" customHeight="1">
      <c r="C441" s="173"/>
    </row>
    <row r="442" spans="3:3" ht="15.75" customHeight="1">
      <c r="C442" s="173"/>
    </row>
    <row r="443" spans="3:3" ht="15.75" customHeight="1">
      <c r="C443" s="173"/>
    </row>
    <row r="444" spans="3:3" ht="15.75" customHeight="1">
      <c r="C444" s="173"/>
    </row>
    <row r="445" spans="3:3" ht="15.75" customHeight="1">
      <c r="C445" s="173"/>
    </row>
    <row r="446" spans="3:3" ht="15.75" customHeight="1">
      <c r="C446" s="173"/>
    </row>
    <row r="447" spans="3:3" ht="15.75" customHeight="1">
      <c r="C447" s="173"/>
    </row>
    <row r="448" spans="3:3" ht="15.75" customHeight="1">
      <c r="C448" s="173"/>
    </row>
    <row r="449" spans="3:3" ht="15.75" customHeight="1">
      <c r="C449" s="173"/>
    </row>
    <row r="450" spans="3:3" ht="15.75" customHeight="1">
      <c r="C450" s="173"/>
    </row>
    <row r="451" spans="3:3" ht="15.75" customHeight="1">
      <c r="C451" s="173"/>
    </row>
    <row r="452" spans="3:3" ht="15.75" customHeight="1">
      <c r="C452" s="173"/>
    </row>
    <row r="453" spans="3:3" ht="15.75" customHeight="1">
      <c r="C453" s="173"/>
    </row>
    <row r="454" spans="3:3" ht="15.75" customHeight="1">
      <c r="C454" s="173"/>
    </row>
    <row r="455" spans="3:3" ht="15.75" customHeight="1">
      <c r="C455" s="173"/>
    </row>
    <row r="456" spans="3:3" ht="15.75" customHeight="1">
      <c r="C456" s="173"/>
    </row>
    <row r="457" spans="3:3" ht="15.75" customHeight="1">
      <c r="C457" s="173"/>
    </row>
    <row r="458" spans="3:3" ht="15.75" customHeight="1">
      <c r="C458" s="173"/>
    </row>
    <row r="459" spans="3:3" ht="15.75" customHeight="1">
      <c r="C459" s="173"/>
    </row>
    <row r="460" spans="3:3" ht="15.75" customHeight="1">
      <c r="C460" s="173"/>
    </row>
    <row r="461" spans="3:3" ht="15.75" customHeight="1">
      <c r="C461" s="173"/>
    </row>
    <row r="462" spans="3:3" ht="15.75" customHeight="1">
      <c r="C462" s="173"/>
    </row>
    <row r="463" spans="3:3" ht="15.75" customHeight="1">
      <c r="C463" s="173"/>
    </row>
    <row r="464" spans="3:3" ht="15.75" customHeight="1">
      <c r="C464" s="173"/>
    </row>
    <row r="465" spans="3:3" ht="15.75" customHeight="1">
      <c r="C465" s="173"/>
    </row>
    <row r="466" spans="3:3" ht="15.75" customHeight="1">
      <c r="C466" s="173"/>
    </row>
    <row r="467" spans="3:3" ht="15.75" customHeight="1">
      <c r="C467" s="173"/>
    </row>
    <row r="468" spans="3:3" ht="15.75" customHeight="1">
      <c r="C468" s="173"/>
    </row>
    <row r="469" spans="3:3" ht="15.75" customHeight="1">
      <c r="C469" s="173"/>
    </row>
    <row r="470" spans="3:3" ht="15.75" customHeight="1">
      <c r="C470" s="173"/>
    </row>
    <row r="471" spans="3:3" ht="15.75" customHeight="1">
      <c r="C471" s="173"/>
    </row>
    <row r="472" spans="3:3" ht="15.75" customHeight="1">
      <c r="C472" s="173"/>
    </row>
    <row r="473" spans="3:3" ht="15.75" customHeight="1">
      <c r="C473" s="173"/>
    </row>
    <row r="474" spans="3:3" ht="15.75" customHeight="1">
      <c r="C474" s="173"/>
    </row>
    <row r="475" spans="3:3" ht="15.75" customHeight="1">
      <c r="C475" s="173"/>
    </row>
    <row r="476" spans="3:3" ht="15.75" customHeight="1">
      <c r="C476" s="173"/>
    </row>
    <row r="477" spans="3:3" ht="15.75" customHeight="1">
      <c r="C477" s="173"/>
    </row>
    <row r="478" spans="3:3" ht="15.75" customHeight="1">
      <c r="C478" s="173"/>
    </row>
    <row r="479" spans="3:3" ht="15.75" customHeight="1">
      <c r="C479" s="173"/>
    </row>
    <row r="480" spans="3:3" ht="15.75" customHeight="1">
      <c r="C480" s="173"/>
    </row>
    <row r="481" spans="3:3" ht="15.75" customHeight="1">
      <c r="C481" s="173"/>
    </row>
    <row r="482" spans="3:3" ht="15.75" customHeight="1">
      <c r="C482" s="173"/>
    </row>
    <row r="483" spans="3:3" ht="15.75" customHeight="1">
      <c r="C483" s="173"/>
    </row>
    <row r="484" spans="3:3" ht="15.75" customHeight="1">
      <c r="C484" s="173"/>
    </row>
    <row r="485" spans="3:3" ht="15.75" customHeight="1">
      <c r="C485" s="173"/>
    </row>
    <row r="486" spans="3:3" ht="15.75" customHeight="1">
      <c r="C486" s="173"/>
    </row>
    <row r="487" spans="3:3" ht="15.75" customHeight="1">
      <c r="C487" s="173"/>
    </row>
    <row r="488" spans="3:3" ht="15.75" customHeight="1">
      <c r="C488" s="173"/>
    </row>
    <row r="489" spans="3:3" ht="15.75" customHeight="1">
      <c r="C489" s="173"/>
    </row>
    <row r="490" spans="3:3" ht="15.75" customHeight="1">
      <c r="C490" s="173"/>
    </row>
    <row r="491" spans="3:3" ht="15.75" customHeight="1">
      <c r="C491" s="173"/>
    </row>
    <row r="492" spans="3:3" ht="15.75" customHeight="1">
      <c r="C492" s="173"/>
    </row>
    <row r="493" spans="3:3" ht="15.75" customHeight="1">
      <c r="C493" s="173"/>
    </row>
    <row r="494" spans="3:3" ht="15.75" customHeight="1">
      <c r="C494" s="173"/>
    </row>
    <row r="495" spans="3:3" ht="15.75" customHeight="1">
      <c r="C495" s="173"/>
    </row>
    <row r="496" spans="3:3" ht="15.75" customHeight="1">
      <c r="C496" s="173"/>
    </row>
    <row r="497" spans="3:3" ht="15.75" customHeight="1">
      <c r="C497" s="173"/>
    </row>
    <row r="498" spans="3:3" ht="15.75" customHeight="1">
      <c r="C498" s="173"/>
    </row>
    <row r="499" spans="3:3" ht="15.75" customHeight="1">
      <c r="C499" s="173"/>
    </row>
    <row r="500" spans="3:3" ht="15.75" customHeight="1">
      <c r="C500" s="173"/>
    </row>
    <row r="501" spans="3:3" ht="15.75" customHeight="1">
      <c r="C501" s="173"/>
    </row>
    <row r="502" spans="3:3" ht="15.75" customHeight="1">
      <c r="C502" s="173"/>
    </row>
    <row r="503" spans="3:3" ht="15.75" customHeight="1">
      <c r="C503" s="173"/>
    </row>
    <row r="504" spans="3:3" ht="15.75" customHeight="1">
      <c r="C504" s="173"/>
    </row>
    <row r="505" spans="3:3" ht="15.75" customHeight="1">
      <c r="C505" s="173"/>
    </row>
    <row r="506" spans="3:3" ht="15.75" customHeight="1">
      <c r="C506" s="173"/>
    </row>
    <row r="507" spans="3:3" ht="15.75" customHeight="1">
      <c r="C507" s="173"/>
    </row>
    <row r="508" spans="3:3" ht="15.75" customHeight="1">
      <c r="C508" s="173"/>
    </row>
    <row r="509" spans="3:3" ht="15.75" customHeight="1">
      <c r="C509" s="173"/>
    </row>
    <row r="510" spans="3:3" ht="15.75" customHeight="1">
      <c r="C510" s="173"/>
    </row>
    <row r="511" spans="3:3" ht="15.75" customHeight="1">
      <c r="C511" s="173"/>
    </row>
    <row r="512" spans="3:3" ht="15.75" customHeight="1">
      <c r="C512" s="173"/>
    </row>
    <row r="513" spans="3:3" ht="15.75" customHeight="1">
      <c r="C513" s="173"/>
    </row>
    <row r="514" spans="3:3" ht="15.75" customHeight="1">
      <c r="C514" s="173"/>
    </row>
    <row r="515" spans="3:3" ht="15.75" customHeight="1">
      <c r="C515" s="173"/>
    </row>
    <row r="516" spans="3:3" ht="15.75" customHeight="1">
      <c r="C516" s="173"/>
    </row>
    <row r="517" spans="3:3" ht="15.75" customHeight="1">
      <c r="C517" s="173"/>
    </row>
    <row r="518" spans="3:3" ht="15.75" customHeight="1">
      <c r="C518" s="173"/>
    </row>
    <row r="519" spans="3:3" ht="15.75" customHeight="1">
      <c r="C519" s="173"/>
    </row>
    <row r="520" spans="3:3" ht="15.75" customHeight="1">
      <c r="C520" s="173"/>
    </row>
    <row r="521" spans="3:3" ht="15.75" customHeight="1">
      <c r="C521" s="173"/>
    </row>
    <row r="522" spans="3:3" ht="15.75" customHeight="1">
      <c r="C522" s="173"/>
    </row>
    <row r="523" spans="3:3" ht="15.75" customHeight="1">
      <c r="C523" s="173"/>
    </row>
    <row r="524" spans="3:3" ht="15.75" customHeight="1">
      <c r="C524" s="173"/>
    </row>
    <row r="525" spans="3:3" ht="15.75" customHeight="1">
      <c r="C525" s="173"/>
    </row>
    <row r="526" spans="3:3" ht="15.75" customHeight="1">
      <c r="C526" s="173"/>
    </row>
    <row r="527" spans="3:3" ht="15.75" customHeight="1">
      <c r="C527" s="173"/>
    </row>
    <row r="528" spans="3:3" ht="15.75" customHeight="1">
      <c r="C528" s="173"/>
    </row>
    <row r="529" spans="3:3" ht="15.75" customHeight="1">
      <c r="C529" s="173"/>
    </row>
    <row r="530" spans="3:3" ht="15.75" customHeight="1">
      <c r="C530" s="173"/>
    </row>
    <row r="531" spans="3:3" ht="15.75" customHeight="1">
      <c r="C531" s="173"/>
    </row>
    <row r="532" spans="3:3" ht="15.75" customHeight="1">
      <c r="C532" s="173"/>
    </row>
    <row r="533" spans="3:3" ht="15.75" customHeight="1">
      <c r="C533" s="173"/>
    </row>
    <row r="534" spans="3:3" ht="15.75" customHeight="1">
      <c r="C534" s="173"/>
    </row>
    <row r="535" spans="3:3" ht="15.75" customHeight="1">
      <c r="C535" s="173"/>
    </row>
    <row r="536" spans="3:3" ht="15.75" customHeight="1">
      <c r="C536" s="173"/>
    </row>
    <row r="537" spans="3:3" ht="15.75" customHeight="1">
      <c r="C537" s="173"/>
    </row>
    <row r="538" spans="3:3" ht="15.75" customHeight="1">
      <c r="C538" s="173"/>
    </row>
    <row r="539" spans="3:3" ht="15.75" customHeight="1">
      <c r="C539" s="173"/>
    </row>
    <row r="540" spans="3:3" ht="15.75" customHeight="1">
      <c r="C540" s="173"/>
    </row>
    <row r="541" spans="3:3" ht="15.75" customHeight="1">
      <c r="C541" s="173"/>
    </row>
    <row r="542" spans="3:3" ht="15.75" customHeight="1">
      <c r="C542" s="173"/>
    </row>
    <row r="543" spans="3:3" ht="15.75" customHeight="1">
      <c r="C543" s="173"/>
    </row>
    <row r="544" spans="3:3" ht="15.75" customHeight="1">
      <c r="C544" s="173"/>
    </row>
    <row r="545" spans="3:3" ht="15.75" customHeight="1">
      <c r="C545" s="173"/>
    </row>
    <row r="546" spans="3:3" ht="15.75" customHeight="1">
      <c r="C546" s="173"/>
    </row>
    <row r="547" spans="3:3" ht="15.75" customHeight="1">
      <c r="C547" s="173"/>
    </row>
    <row r="548" spans="3:3" ht="15.75" customHeight="1">
      <c r="C548" s="173"/>
    </row>
    <row r="549" spans="3:3" ht="15.75" customHeight="1">
      <c r="C549" s="173"/>
    </row>
    <row r="550" spans="3:3" ht="15.75" customHeight="1">
      <c r="C550" s="173"/>
    </row>
    <row r="551" spans="3:3" ht="15.75" customHeight="1">
      <c r="C551" s="173"/>
    </row>
    <row r="552" spans="3:3" ht="15.75" customHeight="1">
      <c r="C552" s="173"/>
    </row>
    <row r="553" spans="3:3" ht="15.75" customHeight="1">
      <c r="C553" s="173"/>
    </row>
    <row r="554" spans="3:3" ht="15.75" customHeight="1">
      <c r="C554" s="173"/>
    </row>
    <row r="555" spans="3:3" ht="15.75" customHeight="1">
      <c r="C555" s="173"/>
    </row>
    <row r="556" spans="3:3" ht="15.75" customHeight="1">
      <c r="C556" s="173"/>
    </row>
    <row r="557" spans="3:3" ht="15.75" customHeight="1">
      <c r="C557" s="173"/>
    </row>
    <row r="558" spans="3:3" ht="15.75" customHeight="1">
      <c r="C558" s="173"/>
    </row>
    <row r="559" spans="3:3" ht="15.75" customHeight="1">
      <c r="C559" s="173"/>
    </row>
    <row r="560" spans="3:3" ht="15.75" customHeight="1">
      <c r="C560" s="173"/>
    </row>
    <row r="561" spans="3:3" ht="15.75" customHeight="1">
      <c r="C561" s="173"/>
    </row>
    <row r="562" spans="3:3" ht="15.75" customHeight="1">
      <c r="C562" s="173"/>
    </row>
    <row r="563" spans="3:3" ht="15.75" customHeight="1">
      <c r="C563" s="173"/>
    </row>
    <row r="564" spans="3:3" ht="15.75" customHeight="1">
      <c r="C564" s="173"/>
    </row>
    <row r="565" spans="3:3" ht="15.75" customHeight="1">
      <c r="C565" s="173"/>
    </row>
    <row r="566" spans="3:3" ht="15.75" customHeight="1">
      <c r="C566" s="173"/>
    </row>
    <row r="567" spans="3:3" ht="15.75" customHeight="1">
      <c r="C567" s="173"/>
    </row>
    <row r="568" spans="3:3" ht="15.75" customHeight="1">
      <c r="C568" s="173"/>
    </row>
    <row r="569" spans="3:3" ht="15.75" customHeight="1">
      <c r="C569" s="173"/>
    </row>
    <row r="570" spans="3:3" ht="15.75" customHeight="1">
      <c r="C570" s="173"/>
    </row>
    <row r="571" spans="3:3" ht="15.75" customHeight="1">
      <c r="C571" s="173"/>
    </row>
    <row r="572" spans="3:3" ht="15.75" customHeight="1">
      <c r="C572" s="173"/>
    </row>
    <row r="573" spans="3:3" ht="15.75" customHeight="1">
      <c r="C573" s="173"/>
    </row>
    <row r="574" spans="3:3" ht="15.75" customHeight="1">
      <c r="C574" s="173"/>
    </row>
    <row r="575" spans="3:3" ht="15.75" customHeight="1">
      <c r="C575" s="173"/>
    </row>
    <row r="576" spans="3:3" ht="15.75" customHeight="1">
      <c r="C576" s="173"/>
    </row>
    <row r="577" spans="3:3" ht="15.75" customHeight="1">
      <c r="C577" s="173"/>
    </row>
    <row r="578" spans="3:3" ht="15.75" customHeight="1">
      <c r="C578" s="173"/>
    </row>
    <row r="579" spans="3:3" ht="15.75" customHeight="1">
      <c r="C579" s="173"/>
    </row>
    <row r="580" spans="3:3" ht="15.75" customHeight="1">
      <c r="C580" s="173"/>
    </row>
    <row r="581" spans="3:3" ht="15.75" customHeight="1">
      <c r="C581" s="173"/>
    </row>
    <row r="582" spans="3:3" ht="15.75" customHeight="1">
      <c r="C582" s="173"/>
    </row>
    <row r="583" spans="3:3" ht="15.75" customHeight="1">
      <c r="C583" s="173"/>
    </row>
    <row r="584" spans="3:3" ht="15.75" customHeight="1">
      <c r="C584" s="173"/>
    </row>
    <row r="585" spans="3:3" ht="15.75" customHeight="1">
      <c r="C585" s="173"/>
    </row>
    <row r="586" spans="3:3" ht="15.75" customHeight="1">
      <c r="C586" s="173"/>
    </row>
    <row r="587" spans="3:3" ht="15.75" customHeight="1">
      <c r="C587" s="173"/>
    </row>
    <row r="588" spans="3:3" ht="15.75" customHeight="1">
      <c r="C588" s="173"/>
    </row>
    <row r="589" spans="3:3" ht="15.75" customHeight="1">
      <c r="C589" s="173"/>
    </row>
    <row r="590" spans="3:3" ht="15.75" customHeight="1">
      <c r="C590" s="173"/>
    </row>
    <row r="591" spans="3:3" ht="15.75" customHeight="1">
      <c r="C591" s="173"/>
    </row>
    <row r="592" spans="3:3" ht="15.75" customHeight="1">
      <c r="C592" s="173"/>
    </row>
    <row r="593" spans="3:3" ht="15.75" customHeight="1">
      <c r="C593" s="173"/>
    </row>
    <row r="594" spans="3:3" ht="15.75" customHeight="1">
      <c r="C594" s="173"/>
    </row>
    <row r="595" spans="3:3" ht="15.75" customHeight="1">
      <c r="C595" s="173"/>
    </row>
    <row r="596" spans="3:3" ht="15.75" customHeight="1">
      <c r="C596" s="173"/>
    </row>
    <row r="597" spans="3:3" ht="15.75" customHeight="1">
      <c r="C597" s="173"/>
    </row>
    <row r="598" spans="3:3" ht="15.75" customHeight="1">
      <c r="C598" s="173"/>
    </row>
    <row r="599" spans="3:3" ht="15.75" customHeight="1">
      <c r="C599" s="173"/>
    </row>
    <row r="600" spans="3:3" ht="15.75" customHeight="1">
      <c r="C600" s="173"/>
    </row>
    <row r="601" spans="3:3" ht="15.75" customHeight="1">
      <c r="C601" s="173"/>
    </row>
    <row r="602" spans="3:3" ht="15.75" customHeight="1">
      <c r="C602" s="173"/>
    </row>
    <row r="603" spans="3:3" ht="15.75" customHeight="1">
      <c r="C603" s="173"/>
    </row>
    <row r="604" spans="3:3" ht="15.75" customHeight="1">
      <c r="C604" s="173"/>
    </row>
    <row r="605" spans="3:3" ht="15.75" customHeight="1">
      <c r="C605" s="173"/>
    </row>
    <row r="606" spans="3:3" ht="15.75" customHeight="1">
      <c r="C606" s="173"/>
    </row>
    <row r="607" spans="3:3" ht="15.75" customHeight="1">
      <c r="C607" s="173"/>
    </row>
    <row r="608" spans="3:3" ht="15.75" customHeight="1">
      <c r="C608" s="173"/>
    </row>
    <row r="609" spans="3:3" ht="15.75" customHeight="1">
      <c r="C609" s="173"/>
    </row>
    <row r="610" spans="3:3" ht="15.75" customHeight="1">
      <c r="C610" s="173"/>
    </row>
    <row r="611" spans="3:3" ht="15.75" customHeight="1">
      <c r="C611" s="173"/>
    </row>
    <row r="612" spans="3:3" ht="15.75" customHeight="1">
      <c r="C612" s="173"/>
    </row>
    <row r="613" spans="3:3" ht="15.75" customHeight="1">
      <c r="C613" s="173"/>
    </row>
    <row r="614" spans="3:3" ht="15.75" customHeight="1">
      <c r="C614" s="173"/>
    </row>
    <row r="615" spans="3:3" ht="15.75" customHeight="1">
      <c r="C615" s="173"/>
    </row>
    <row r="616" spans="3:3" ht="15.75" customHeight="1">
      <c r="C616" s="173"/>
    </row>
    <row r="617" spans="3:3" ht="15.75" customHeight="1">
      <c r="C617" s="173"/>
    </row>
    <row r="618" spans="3:3" ht="15.75" customHeight="1">
      <c r="C618" s="173"/>
    </row>
    <row r="619" spans="3:3" ht="15.75" customHeight="1">
      <c r="C619" s="173"/>
    </row>
    <row r="620" spans="3:3" ht="15.75" customHeight="1">
      <c r="C620" s="173"/>
    </row>
    <row r="621" spans="3:3" ht="15.75" customHeight="1">
      <c r="C621" s="173"/>
    </row>
    <row r="622" spans="3:3" ht="15.75" customHeight="1">
      <c r="C622" s="173"/>
    </row>
    <row r="623" spans="3:3" ht="15.75" customHeight="1">
      <c r="C623" s="173"/>
    </row>
    <row r="624" spans="3:3" ht="15.75" customHeight="1">
      <c r="C624" s="173"/>
    </row>
    <row r="625" spans="3:3" ht="15.75" customHeight="1">
      <c r="C625" s="173"/>
    </row>
    <row r="626" spans="3:3" ht="15.75" customHeight="1">
      <c r="C626" s="173"/>
    </row>
    <row r="627" spans="3:3" ht="15.75" customHeight="1">
      <c r="C627" s="173"/>
    </row>
    <row r="628" spans="3:3" ht="15.75" customHeight="1">
      <c r="C628" s="173"/>
    </row>
    <row r="629" spans="3:3" ht="15.75" customHeight="1">
      <c r="C629" s="173"/>
    </row>
    <row r="630" spans="3:3" ht="15.75" customHeight="1">
      <c r="C630" s="173"/>
    </row>
    <row r="631" spans="3:3" ht="15.75" customHeight="1">
      <c r="C631" s="173"/>
    </row>
    <row r="632" spans="3:3" ht="15.75" customHeight="1">
      <c r="C632" s="173"/>
    </row>
    <row r="633" spans="3:3" ht="15.75" customHeight="1">
      <c r="C633" s="173"/>
    </row>
    <row r="634" spans="3:3" ht="15.75" customHeight="1">
      <c r="C634" s="173"/>
    </row>
    <row r="635" spans="3:3" ht="15.75" customHeight="1">
      <c r="C635" s="173"/>
    </row>
    <row r="636" spans="3:3" ht="15.75" customHeight="1">
      <c r="C636" s="173"/>
    </row>
    <row r="637" spans="3:3" ht="15.75" customHeight="1">
      <c r="C637" s="173"/>
    </row>
    <row r="638" spans="3:3" ht="15.75" customHeight="1">
      <c r="C638" s="173"/>
    </row>
    <row r="639" spans="3:3" ht="15.75" customHeight="1">
      <c r="C639" s="173"/>
    </row>
    <row r="640" spans="3:3" ht="15.75" customHeight="1">
      <c r="C640" s="173"/>
    </row>
    <row r="641" spans="3:3" ht="15.75" customHeight="1">
      <c r="C641" s="173"/>
    </row>
    <row r="642" spans="3:3" ht="15.75" customHeight="1">
      <c r="C642" s="173"/>
    </row>
    <row r="643" spans="3:3" ht="15.75" customHeight="1">
      <c r="C643" s="173"/>
    </row>
    <row r="644" spans="3:3" ht="15.75" customHeight="1">
      <c r="C644" s="173"/>
    </row>
    <row r="645" spans="3:3" ht="15.75" customHeight="1">
      <c r="C645" s="173"/>
    </row>
    <row r="646" spans="3:3" ht="15.75" customHeight="1">
      <c r="C646" s="173"/>
    </row>
    <row r="647" spans="3:3" ht="15.75" customHeight="1">
      <c r="C647" s="173"/>
    </row>
    <row r="648" spans="3:3" ht="15.75" customHeight="1">
      <c r="C648" s="173"/>
    </row>
    <row r="649" spans="3:3" ht="15.75" customHeight="1">
      <c r="C649" s="173"/>
    </row>
    <row r="650" spans="3:3" ht="15.75" customHeight="1">
      <c r="C650" s="173"/>
    </row>
    <row r="651" spans="3:3" ht="15.75" customHeight="1">
      <c r="C651" s="173"/>
    </row>
    <row r="652" spans="3:3" ht="15.75" customHeight="1">
      <c r="C652" s="173"/>
    </row>
    <row r="653" spans="3:3" ht="15.75" customHeight="1">
      <c r="C653" s="173"/>
    </row>
    <row r="654" spans="3:3" ht="15.75" customHeight="1">
      <c r="C654" s="173"/>
    </row>
    <row r="655" spans="3:3" ht="15.75" customHeight="1">
      <c r="C655" s="173"/>
    </row>
    <row r="656" spans="3:3" ht="15.75" customHeight="1">
      <c r="C656" s="173"/>
    </row>
    <row r="657" spans="3:3" ht="15.75" customHeight="1">
      <c r="C657" s="173"/>
    </row>
    <row r="658" spans="3:3" ht="15.75" customHeight="1">
      <c r="C658" s="173"/>
    </row>
    <row r="659" spans="3:3" ht="15.75" customHeight="1">
      <c r="C659" s="173"/>
    </row>
    <row r="660" spans="3:3" ht="15.75" customHeight="1">
      <c r="C660" s="173"/>
    </row>
    <row r="661" spans="3:3" ht="15.75" customHeight="1">
      <c r="C661" s="173"/>
    </row>
    <row r="662" spans="3:3" ht="15.75" customHeight="1">
      <c r="C662" s="173"/>
    </row>
    <row r="663" spans="3:3" ht="15.75" customHeight="1">
      <c r="C663" s="173"/>
    </row>
    <row r="664" spans="3:3" ht="15.75" customHeight="1">
      <c r="C664" s="173"/>
    </row>
    <row r="665" spans="3:3" ht="15.75" customHeight="1">
      <c r="C665" s="173"/>
    </row>
    <row r="666" spans="3:3" ht="15.75" customHeight="1">
      <c r="C666" s="173"/>
    </row>
    <row r="667" spans="3:3" ht="15.75" customHeight="1">
      <c r="C667" s="173"/>
    </row>
    <row r="668" spans="3:3" ht="15.75" customHeight="1">
      <c r="C668" s="173"/>
    </row>
    <row r="669" spans="3:3" ht="15.75" customHeight="1">
      <c r="C669" s="173"/>
    </row>
    <row r="670" spans="3:3" ht="15.75" customHeight="1">
      <c r="C670" s="173"/>
    </row>
    <row r="671" spans="3:3" ht="15.75" customHeight="1">
      <c r="C671" s="173"/>
    </row>
    <row r="672" spans="3:3" ht="15.75" customHeight="1">
      <c r="C672" s="173"/>
    </row>
    <row r="673" spans="3:3" ht="15.75" customHeight="1">
      <c r="C673" s="173"/>
    </row>
    <row r="674" spans="3:3" ht="15.75" customHeight="1">
      <c r="C674" s="173"/>
    </row>
    <row r="675" spans="3:3" ht="15.75" customHeight="1">
      <c r="C675" s="173"/>
    </row>
    <row r="676" spans="3:3" ht="15.75" customHeight="1">
      <c r="C676" s="173"/>
    </row>
    <row r="677" spans="3:3" ht="15.75" customHeight="1">
      <c r="C677" s="173"/>
    </row>
    <row r="678" spans="3:3" ht="15.75" customHeight="1">
      <c r="C678" s="173"/>
    </row>
    <row r="679" spans="3:3" ht="15.75" customHeight="1">
      <c r="C679" s="173"/>
    </row>
    <row r="680" spans="3:3" ht="15.75" customHeight="1">
      <c r="C680" s="173"/>
    </row>
    <row r="681" spans="3:3" ht="15.75" customHeight="1">
      <c r="C681" s="173"/>
    </row>
    <row r="682" spans="3:3" ht="15.75" customHeight="1">
      <c r="C682" s="173"/>
    </row>
    <row r="683" spans="3:3" ht="15.75" customHeight="1">
      <c r="C683" s="173"/>
    </row>
    <row r="684" spans="3:3" ht="15.75" customHeight="1">
      <c r="C684" s="173"/>
    </row>
    <row r="685" spans="3:3" ht="15.75" customHeight="1">
      <c r="C685" s="173"/>
    </row>
    <row r="686" spans="3:3" ht="15.75" customHeight="1">
      <c r="C686" s="173"/>
    </row>
    <row r="687" spans="3:3" ht="15.75" customHeight="1">
      <c r="C687" s="173"/>
    </row>
    <row r="688" spans="3:3" ht="15.75" customHeight="1">
      <c r="C688" s="173"/>
    </row>
    <row r="689" spans="3:3" ht="15.75" customHeight="1">
      <c r="C689" s="173"/>
    </row>
    <row r="690" spans="3:3" ht="15.75" customHeight="1">
      <c r="C690" s="173"/>
    </row>
    <row r="691" spans="3:3" ht="15.75" customHeight="1">
      <c r="C691" s="173"/>
    </row>
    <row r="692" spans="3:3" ht="15.75" customHeight="1">
      <c r="C692" s="173"/>
    </row>
    <row r="693" spans="3:3" ht="15.75" customHeight="1">
      <c r="C693" s="173"/>
    </row>
    <row r="694" spans="3:3" ht="15.75" customHeight="1">
      <c r="C694" s="173"/>
    </row>
    <row r="695" spans="3:3" ht="15.75" customHeight="1">
      <c r="C695" s="173"/>
    </row>
    <row r="696" spans="3:3" ht="15.75" customHeight="1">
      <c r="C696" s="173"/>
    </row>
    <row r="697" spans="3:3" ht="15.75" customHeight="1">
      <c r="C697" s="173"/>
    </row>
    <row r="698" spans="3:3" ht="15.75" customHeight="1">
      <c r="C698" s="173"/>
    </row>
    <row r="699" spans="3:3" ht="15.75" customHeight="1">
      <c r="C699" s="173"/>
    </row>
    <row r="700" spans="3:3" ht="15.75" customHeight="1">
      <c r="C700" s="173"/>
    </row>
    <row r="701" spans="3:3" ht="15.75" customHeight="1">
      <c r="C701" s="173"/>
    </row>
    <row r="702" spans="3:3" ht="15.75" customHeight="1">
      <c r="C702" s="173"/>
    </row>
    <row r="703" spans="3:3" ht="15.75" customHeight="1">
      <c r="C703" s="173"/>
    </row>
    <row r="704" spans="3:3" ht="15.75" customHeight="1">
      <c r="C704" s="173"/>
    </row>
    <row r="705" spans="3:3" ht="15.75" customHeight="1">
      <c r="C705" s="173"/>
    </row>
    <row r="706" spans="3:3" ht="15.75" customHeight="1">
      <c r="C706" s="173"/>
    </row>
    <row r="707" spans="3:3" ht="15.75" customHeight="1">
      <c r="C707" s="173"/>
    </row>
    <row r="708" spans="3:3" ht="15.75" customHeight="1">
      <c r="C708" s="173"/>
    </row>
    <row r="709" spans="3:3" ht="15.75" customHeight="1">
      <c r="C709" s="173"/>
    </row>
    <row r="710" spans="3:3" ht="15.75" customHeight="1">
      <c r="C710" s="173"/>
    </row>
    <row r="711" spans="3:3" ht="15.75" customHeight="1">
      <c r="C711" s="173"/>
    </row>
    <row r="712" spans="3:3" ht="15.75" customHeight="1">
      <c r="C712" s="173"/>
    </row>
    <row r="713" spans="3:3" ht="15.75" customHeight="1">
      <c r="C713" s="173"/>
    </row>
    <row r="714" spans="3:3" ht="15.75" customHeight="1">
      <c r="C714" s="173"/>
    </row>
    <row r="715" spans="3:3" ht="15.75" customHeight="1">
      <c r="C715" s="173"/>
    </row>
    <row r="716" spans="3:3" ht="15.75" customHeight="1">
      <c r="C716" s="173"/>
    </row>
    <row r="717" spans="3:3" ht="15.75" customHeight="1">
      <c r="C717" s="173"/>
    </row>
    <row r="718" spans="3:3" ht="15.75" customHeight="1">
      <c r="C718" s="173"/>
    </row>
    <row r="719" spans="3:3" ht="15.75" customHeight="1">
      <c r="C719" s="173"/>
    </row>
    <row r="720" spans="3:3" ht="15.75" customHeight="1">
      <c r="C720" s="173"/>
    </row>
    <row r="721" spans="3:3" ht="15.75" customHeight="1">
      <c r="C721" s="173"/>
    </row>
    <row r="722" spans="3:3" ht="15.75" customHeight="1">
      <c r="C722" s="173"/>
    </row>
    <row r="723" spans="3:3" ht="15.75" customHeight="1">
      <c r="C723" s="173"/>
    </row>
    <row r="724" spans="3:3" ht="15.75" customHeight="1">
      <c r="C724" s="173"/>
    </row>
    <row r="725" spans="3:3" ht="15.75" customHeight="1">
      <c r="C725" s="173"/>
    </row>
    <row r="726" spans="3:3" ht="15.75" customHeight="1">
      <c r="C726" s="173"/>
    </row>
    <row r="727" spans="3:3" ht="15.75" customHeight="1">
      <c r="C727" s="173"/>
    </row>
    <row r="728" spans="3:3" ht="15.75" customHeight="1">
      <c r="C728" s="173"/>
    </row>
    <row r="729" spans="3:3" ht="15.75" customHeight="1">
      <c r="C729" s="173"/>
    </row>
    <row r="730" spans="3:3" ht="15.75" customHeight="1">
      <c r="C730" s="173"/>
    </row>
    <row r="731" spans="3:3" ht="15.75" customHeight="1">
      <c r="C731" s="173"/>
    </row>
    <row r="732" spans="3:3" ht="15.75" customHeight="1">
      <c r="C732" s="173"/>
    </row>
    <row r="733" spans="3:3" ht="15.75" customHeight="1">
      <c r="C733" s="173"/>
    </row>
    <row r="734" spans="3:3" ht="15.75" customHeight="1">
      <c r="C734" s="173"/>
    </row>
    <row r="735" spans="3:3" ht="15.75" customHeight="1">
      <c r="C735" s="173"/>
    </row>
    <row r="736" spans="3:3" ht="15.75" customHeight="1">
      <c r="C736" s="173"/>
    </row>
    <row r="737" spans="3:3" ht="15.75" customHeight="1">
      <c r="C737" s="173"/>
    </row>
    <row r="738" spans="3:3" ht="15.75" customHeight="1">
      <c r="C738" s="173"/>
    </row>
    <row r="739" spans="3:3" ht="15.75" customHeight="1">
      <c r="C739" s="173"/>
    </row>
    <row r="740" spans="3:3" ht="15.75" customHeight="1">
      <c r="C740" s="173"/>
    </row>
    <row r="741" spans="3:3" ht="15.75" customHeight="1">
      <c r="C741" s="173"/>
    </row>
    <row r="742" spans="3:3" ht="15.75" customHeight="1">
      <c r="C742" s="173"/>
    </row>
    <row r="743" spans="3:3" ht="15.75" customHeight="1">
      <c r="C743" s="173"/>
    </row>
    <row r="744" spans="3:3" ht="15.75" customHeight="1">
      <c r="C744" s="173"/>
    </row>
    <row r="745" spans="3:3" ht="15.75" customHeight="1">
      <c r="C745" s="173"/>
    </row>
    <row r="746" spans="3:3" ht="15.75" customHeight="1">
      <c r="C746" s="173"/>
    </row>
    <row r="747" spans="3:3" ht="15.75" customHeight="1">
      <c r="C747" s="173"/>
    </row>
    <row r="748" spans="3:3" ht="15.75" customHeight="1">
      <c r="C748" s="173"/>
    </row>
    <row r="749" spans="3:3" ht="15.75" customHeight="1">
      <c r="C749" s="173"/>
    </row>
    <row r="750" spans="3:3" ht="15.75" customHeight="1">
      <c r="C750" s="173"/>
    </row>
    <row r="751" spans="3:3" ht="15.75" customHeight="1">
      <c r="C751" s="173"/>
    </row>
    <row r="752" spans="3:3" ht="15.75" customHeight="1">
      <c r="C752" s="173"/>
    </row>
    <row r="753" spans="3:3" ht="15.75" customHeight="1">
      <c r="C753" s="173"/>
    </row>
    <row r="754" spans="3:3" ht="15.75" customHeight="1">
      <c r="C754" s="173"/>
    </row>
    <row r="755" spans="3:3" ht="15.75" customHeight="1">
      <c r="C755" s="173"/>
    </row>
    <row r="756" spans="3:3" ht="15.75" customHeight="1">
      <c r="C756" s="173"/>
    </row>
    <row r="757" spans="3:3" ht="15.75" customHeight="1">
      <c r="C757" s="173"/>
    </row>
    <row r="758" spans="3:3" ht="15.75" customHeight="1">
      <c r="C758" s="173"/>
    </row>
    <row r="759" spans="3:3" ht="15.75" customHeight="1">
      <c r="C759" s="173"/>
    </row>
    <row r="760" spans="3:3" ht="15.75" customHeight="1">
      <c r="C760" s="173"/>
    </row>
    <row r="761" spans="3:3" ht="15.75" customHeight="1">
      <c r="C761" s="173"/>
    </row>
    <row r="762" spans="3:3" ht="15.75" customHeight="1">
      <c r="C762" s="173"/>
    </row>
    <row r="763" spans="3:3" ht="15.75" customHeight="1">
      <c r="C763" s="173"/>
    </row>
    <row r="764" spans="3:3" ht="15.75" customHeight="1">
      <c r="C764" s="173"/>
    </row>
    <row r="765" spans="3:3" ht="15.75" customHeight="1">
      <c r="C765" s="173"/>
    </row>
    <row r="766" spans="3:3" ht="15.75" customHeight="1">
      <c r="C766" s="173"/>
    </row>
    <row r="767" spans="3:3" ht="15.75" customHeight="1">
      <c r="C767" s="173"/>
    </row>
    <row r="768" spans="3:3" ht="15.75" customHeight="1">
      <c r="C768" s="173"/>
    </row>
    <row r="769" spans="3:3" ht="15.75" customHeight="1">
      <c r="C769" s="173"/>
    </row>
    <row r="770" spans="3:3" ht="15.75" customHeight="1">
      <c r="C770" s="173"/>
    </row>
    <row r="771" spans="3:3" ht="15.75" customHeight="1">
      <c r="C771" s="173"/>
    </row>
    <row r="772" spans="3:3" ht="15.75" customHeight="1">
      <c r="C772" s="173"/>
    </row>
    <row r="773" spans="3:3" ht="15.75" customHeight="1">
      <c r="C773" s="173"/>
    </row>
    <row r="774" spans="3:3" ht="15.75" customHeight="1">
      <c r="C774" s="173"/>
    </row>
    <row r="775" spans="3:3" ht="15.75" customHeight="1">
      <c r="C775" s="173"/>
    </row>
    <row r="776" spans="3:3" ht="15.75" customHeight="1">
      <c r="C776" s="173"/>
    </row>
    <row r="777" spans="3:3" ht="15.75" customHeight="1">
      <c r="C777" s="173"/>
    </row>
    <row r="778" spans="3:3" ht="15.75" customHeight="1">
      <c r="C778" s="173"/>
    </row>
    <row r="779" spans="3:3" ht="15.75" customHeight="1">
      <c r="C779" s="173"/>
    </row>
    <row r="780" spans="3:3" ht="15.75" customHeight="1">
      <c r="C780" s="173"/>
    </row>
    <row r="781" spans="3:3" ht="15.75" customHeight="1">
      <c r="C781" s="173"/>
    </row>
    <row r="782" spans="3:3" ht="15.75" customHeight="1">
      <c r="C782" s="173"/>
    </row>
    <row r="783" spans="3:3" ht="15.75" customHeight="1">
      <c r="C783" s="173"/>
    </row>
    <row r="784" spans="3:3" ht="15.75" customHeight="1">
      <c r="C784" s="173"/>
    </row>
    <row r="785" spans="3:3" ht="15.75" customHeight="1">
      <c r="C785" s="173"/>
    </row>
    <row r="786" spans="3:3" ht="15.75" customHeight="1">
      <c r="C786" s="173"/>
    </row>
    <row r="787" spans="3:3" ht="15.75" customHeight="1">
      <c r="C787" s="173"/>
    </row>
    <row r="788" spans="3:3" ht="15.75" customHeight="1">
      <c r="C788" s="173"/>
    </row>
    <row r="789" spans="3:3" ht="15.75" customHeight="1">
      <c r="C789" s="173"/>
    </row>
    <row r="790" spans="3:3" ht="15.75" customHeight="1">
      <c r="C790" s="173"/>
    </row>
    <row r="791" spans="3:3" ht="15.75" customHeight="1">
      <c r="C791" s="173"/>
    </row>
    <row r="792" spans="3:3" ht="15.75" customHeight="1">
      <c r="C792" s="173"/>
    </row>
    <row r="793" spans="3:3" ht="15.75" customHeight="1">
      <c r="C793" s="173"/>
    </row>
    <row r="794" spans="3:3" ht="15.75" customHeight="1">
      <c r="C794" s="173"/>
    </row>
    <row r="795" spans="3:3" ht="15.75" customHeight="1">
      <c r="C795" s="173"/>
    </row>
    <row r="796" spans="3:3" ht="15.75" customHeight="1">
      <c r="C796" s="173"/>
    </row>
    <row r="797" spans="3:3" ht="15.75" customHeight="1">
      <c r="C797" s="173"/>
    </row>
    <row r="798" spans="3:3" ht="15.75" customHeight="1">
      <c r="C798" s="173"/>
    </row>
    <row r="799" spans="3:3" ht="15.75" customHeight="1">
      <c r="C799" s="173"/>
    </row>
    <row r="800" spans="3:3" ht="15.75" customHeight="1">
      <c r="C800" s="173"/>
    </row>
    <row r="801" spans="3:3" ht="15.75" customHeight="1">
      <c r="C801" s="173"/>
    </row>
    <row r="802" spans="3:3" ht="15.75" customHeight="1">
      <c r="C802" s="173"/>
    </row>
    <row r="803" spans="3:3" ht="15.75" customHeight="1">
      <c r="C803" s="173"/>
    </row>
    <row r="804" spans="3:3" ht="15.75" customHeight="1">
      <c r="C804" s="173"/>
    </row>
    <row r="805" spans="3:3" ht="15.75" customHeight="1">
      <c r="C805" s="173"/>
    </row>
    <row r="806" spans="3:3" ht="15.75" customHeight="1">
      <c r="C806" s="173"/>
    </row>
    <row r="807" spans="3:3" ht="15.75" customHeight="1">
      <c r="C807" s="173"/>
    </row>
    <row r="808" spans="3:3" ht="15.75" customHeight="1">
      <c r="C808" s="173"/>
    </row>
    <row r="809" spans="3:3" ht="15.75" customHeight="1">
      <c r="C809" s="173"/>
    </row>
    <row r="810" spans="3:3" ht="15.75" customHeight="1">
      <c r="C810" s="173"/>
    </row>
    <row r="811" spans="3:3" ht="15.75" customHeight="1">
      <c r="C811" s="173"/>
    </row>
    <row r="812" spans="3:3" ht="15.75" customHeight="1">
      <c r="C812" s="173"/>
    </row>
    <row r="813" spans="3:3" ht="15.75" customHeight="1">
      <c r="C813" s="173"/>
    </row>
    <row r="814" spans="3:3" ht="15.75" customHeight="1">
      <c r="C814" s="173"/>
    </row>
    <row r="815" spans="3:3" ht="15.75" customHeight="1">
      <c r="C815" s="173"/>
    </row>
    <row r="816" spans="3:3" ht="15.75" customHeight="1">
      <c r="C816" s="173"/>
    </row>
    <row r="817" spans="3:3" ht="15.75" customHeight="1">
      <c r="C817" s="173"/>
    </row>
    <row r="818" spans="3:3" ht="15.75" customHeight="1">
      <c r="C818" s="173"/>
    </row>
    <row r="819" spans="3:3" ht="15.75" customHeight="1">
      <c r="C819" s="173"/>
    </row>
    <row r="820" spans="3:3" ht="15.75" customHeight="1">
      <c r="C820" s="173"/>
    </row>
    <row r="821" spans="3:3" ht="15.75" customHeight="1">
      <c r="C821" s="173"/>
    </row>
    <row r="822" spans="3:3" ht="15.75" customHeight="1">
      <c r="C822" s="173"/>
    </row>
    <row r="823" spans="3:3" ht="15.75" customHeight="1">
      <c r="C823" s="173"/>
    </row>
    <row r="824" spans="3:3" ht="15.75" customHeight="1">
      <c r="C824" s="173"/>
    </row>
    <row r="825" spans="3:3" ht="15.75" customHeight="1">
      <c r="C825" s="173"/>
    </row>
    <row r="826" spans="3:3" ht="15.75" customHeight="1">
      <c r="C826" s="173"/>
    </row>
    <row r="827" spans="3:3" ht="15.75" customHeight="1">
      <c r="C827" s="173"/>
    </row>
    <row r="828" spans="3:3" ht="15.75" customHeight="1">
      <c r="C828" s="173"/>
    </row>
    <row r="829" spans="3:3" ht="15.75" customHeight="1">
      <c r="C829" s="173"/>
    </row>
    <row r="830" spans="3:3" ht="15.75" customHeight="1">
      <c r="C830" s="173"/>
    </row>
    <row r="831" spans="3:3" ht="15.75" customHeight="1">
      <c r="C831" s="173"/>
    </row>
    <row r="832" spans="3:3" ht="15.75" customHeight="1">
      <c r="C832" s="173"/>
    </row>
    <row r="833" spans="3:3" ht="15.75" customHeight="1">
      <c r="C833" s="173"/>
    </row>
    <row r="834" spans="3:3" ht="15.75" customHeight="1">
      <c r="C834" s="173"/>
    </row>
    <row r="835" spans="3:3" ht="15.75" customHeight="1">
      <c r="C835" s="173"/>
    </row>
    <row r="836" spans="3:3" ht="15.75" customHeight="1">
      <c r="C836" s="173"/>
    </row>
    <row r="837" spans="3:3" ht="15.75" customHeight="1">
      <c r="C837" s="173"/>
    </row>
    <row r="838" spans="3:3" ht="15.75" customHeight="1">
      <c r="C838" s="173"/>
    </row>
    <row r="839" spans="3:3" ht="15.75" customHeight="1">
      <c r="C839" s="173"/>
    </row>
    <row r="840" spans="3:3" ht="15.75" customHeight="1">
      <c r="C840" s="173"/>
    </row>
    <row r="841" spans="3:3" ht="15.75" customHeight="1">
      <c r="C841" s="173"/>
    </row>
    <row r="842" spans="3:3" ht="15.75" customHeight="1">
      <c r="C842" s="173"/>
    </row>
    <row r="843" spans="3:3" ht="15.75" customHeight="1">
      <c r="C843" s="173"/>
    </row>
    <row r="844" spans="3:3" ht="15.75" customHeight="1">
      <c r="C844" s="173"/>
    </row>
    <row r="845" spans="3:3" ht="15.75" customHeight="1">
      <c r="C845" s="173"/>
    </row>
    <row r="846" spans="3:3" ht="15.75" customHeight="1">
      <c r="C846" s="173"/>
    </row>
    <row r="847" spans="3:3" ht="15.75" customHeight="1">
      <c r="C847" s="173"/>
    </row>
    <row r="848" spans="3:3" ht="15.75" customHeight="1">
      <c r="C848" s="173"/>
    </row>
    <row r="849" spans="3:3" ht="15.75" customHeight="1">
      <c r="C849" s="173"/>
    </row>
    <row r="850" spans="3:3" ht="15.75" customHeight="1">
      <c r="C850" s="173"/>
    </row>
    <row r="851" spans="3:3" ht="15.75" customHeight="1">
      <c r="C851" s="173"/>
    </row>
    <row r="852" spans="3:3" ht="15.75" customHeight="1">
      <c r="C852" s="173"/>
    </row>
    <row r="853" spans="3:3" ht="15.75" customHeight="1">
      <c r="C853" s="173"/>
    </row>
    <row r="854" spans="3:3" ht="15.75" customHeight="1">
      <c r="C854" s="173"/>
    </row>
    <row r="855" spans="3:3" ht="15.75" customHeight="1">
      <c r="C855" s="173"/>
    </row>
    <row r="856" spans="3:3" ht="15.75" customHeight="1">
      <c r="C856" s="173"/>
    </row>
    <row r="857" spans="3:3" ht="15.75" customHeight="1">
      <c r="C857" s="173"/>
    </row>
    <row r="858" spans="3:3" ht="15.75" customHeight="1">
      <c r="C858" s="173"/>
    </row>
    <row r="859" spans="3:3" ht="15.75" customHeight="1">
      <c r="C859" s="173"/>
    </row>
    <row r="860" spans="3:3" ht="15.75" customHeight="1">
      <c r="C860" s="173"/>
    </row>
    <row r="861" spans="3:3" ht="15.75" customHeight="1">
      <c r="C861" s="173"/>
    </row>
    <row r="862" spans="3:3" ht="15.75" customHeight="1">
      <c r="C862" s="173"/>
    </row>
    <row r="863" spans="3:3" ht="15.75" customHeight="1">
      <c r="C863" s="173"/>
    </row>
    <row r="864" spans="3:3" ht="15.75" customHeight="1">
      <c r="C864" s="173"/>
    </row>
    <row r="865" spans="3:3" ht="15.75" customHeight="1">
      <c r="C865" s="173"/>
    </row>
    <row r="866" spans="3:3" ht="15.75" customHeight="1">
      <c r="C866" s="173"/>
    </row>
    <row r="867" spans="3:3" ht="15.75" customHeight="1">
      <c r="C867" s="173"/>
    </row>
    <row r="868" spans="3:3" ht="15.75" customHeight="1">
      <c r="C868" s="173"/>
    </row>
    <row r="869" spans="3:3" ht="15.75" customHeight="1">
      <c r="C869" s="173"/>
    </row>
    <row r="870" spans="3:3" ht="15.75" customHeight="1">
      <c r="C870" s="173"/>
    </row>
    <row r="871" spans="3:3" ht="15.75" customHeight="1">
      <c r="C871" s="173"/>
    </row>
    <row r="872" spans="3:3" ht="15.75" customHeight="1">
      <c r="C872" s="173"/>
    </row>
    <row r="873" spans="3:3" ht="15.75" customHeight="1">
      <c r="C873" s="173"/>
    </row>
    <row r="874" spans="3:3" ht="15.75" customHeight="1">
      <c r="C874" s="173"/>
    </row>
    <row r="875" spans="3:3" ht="15.75" customHeight="1">
      <c r="C875" s="173"/>
    </row>
    <row r="876" spans="3:3" ht="15.75" customHeight="1">
      <c r="C876" s="173"/>
    </row>
    <row r="877" spans="3:3" ht="15.75" customHeight="1">
      <c r="C877" s="173"/>
    </row>
    <row r="878" spans="3:3" ht="15.75" customHeight="1">
      <c r="C878" s="173"/>
    </row>
    <row r="879" spans="3:3" ht="15.75" customHeight="1">
      <c r="C879" s="173"/>
    </row>
    <row r="880" spans="3:3" ht="15.75" customHeight="1">
      <c r="C880" s="173"/>
    </row>
    <row r="881" spans="3:3" ht="15.75" customHeight="1">
      <c r="C881" s="173"/>
    </row>
    <row r="882" spans="3:3" ht="15.75" customHeight="1">
      <c r="C882" s="173"/>
    </row>
    <row r="883" spans="3:3" ht="15.75" customHeight="1">
      <c r="C883" s="173"/>
    </row>
    <row r="884" spans="3:3" ht="15.75" customHeight="1">
      <c r="C884" s="173"/>
    </row>
    <row r="885" spans="3:3" ht="15.75" customHeight="1">
      <c r="C885" s="173"/>
    </row>
    <row r="886" spans="3:3" ht="15.75" customHeight="1">
      <c r="C886" s="173"/>
    </row>
    <row r="887" spans="3:3" ht="15.75" customHeight="1">
      <c r="C887" s="173"/>
    </row>
    <row r="888" spans="3:3" ht="15.75" customHeight="1">
      <c r="C888" s="173"/>
    </row>
    <row r="889" spans="3:3" ht="15.75" customHeight="1">
      <c r="C889" s="173"/>
    </row>
    <row r="890" spans="3:3" ht="15.75" customHeight="1">
      <c r="C890" s="173"/>
    </row>
    <row r="891" spans="3:3" ht="15.75" customHeight="1">
      <c r="C891" s="173"/>
    </row>
    <row r="892" spans="3:3" ht="15.75" customHeight="1">
      <c r="C892" s="173"/>
    </row>
    <row r="893" spans="3:3" ht="15.75" customHeight="1">
      <c r="C893" s="173"/>
    </row>
    <row r="894" spans="3:3" ht="15.75" customHeight="1">
      <c r="C894" s="173"/>
    </row>
    <row r="895" spans="3:3" ht="15.75" customHeight="1">
      <c r="C895" s="173"/>
    </row>
    <row r="896" spans="3:3" ht="15.75" customHeight="1">
      <c r="C896" s="173"/>
    </row>
    <row r="897" spans="3:3" ht="15.75" customHeight="1">
      <c r="C897" s="173"/>
    </row>
    <row r="898" spans="3:3" ht="15.75" customHeight="1">
      <c r="C898" s="173"/>
    </row>
    <row r="899" spans="3:3" ht="15.75" customHeight="1">
      <c r="C899" s="173"/>
    </row>
    <row r="900" spans="3:3" ht="15.75" customHeight="1">
      <c r="C900" s="173"/>
    </row>
    <row r="901" spans="3:3" ht="15.75" customHeight="1">
      <c r="C901" s="173"/>
    </row>
    <row r="902" spans="3:3" ht="15.75" customHeight="1">
      <c r="C902" s="173"/>
    </row>
    <row r="903" spans="3:3" ht="15.75" customHeight="1">
      <c r="C903" s="173"/>
    </row>
    <row r="904" spans="3:3" ht="15.75" customHeight="1">
      <c r="C904" s="173"/>
    </row>
    <row r="905" spans="3:3" ht="15.75" customHeight="1">
      <c r="C905" s="173"/>
    </row>
    <row r="906" spans="3:3" ht="15.75" customHeight="1">
      <c r="C906" s="173"/>
    </row>
    <row r="907" spans="3:3" ht="15.75" customHeight="1">
      <c r="C907" s="173"/>
    </row>
    <row r="908" spans="3:3" ht="15.75" customHeight="1">
      <c r="C908" s="173"/>
    </row>
    <row r="909" spans="3:3" ht="15.75" customHeight="1">
      <c r="C909" s="173"/>
    </row>
    <row r="910" spans="3:3" ht="15.75" customHeight="1">
      <c r="C910" s="173"/>
    </row>
    <row r="911" spans="3:3" ht="15.75" customHeight="1">
      <c r="C911" s="173"/>
    </row>
    <row r="912" spans="3:3" ht="15.75" customHeight="1">
      <c r="C912" s="173"/>
    </row>
    <row r="913" spans="3:3" ht="15.75" customHeight="1">
      <c r="C913" s="173"/>
    </row>
    <row r="914" spans="3:3" ht="15.75" customHeight="1">
      <c r="C914" s="173"/>
    </row>
    <row r="915" spans="3:3" ht="15.75" customHeight="1">
      <c r="C915" s="173"/>
    </row>
    <row r="916" spans="3:3" ht="15.75" customHeight="1">
      <c r="C916" s="173"/>
    </row>
    <row r="917" spans="3:3" ht="15.75" customHeight="1">
      <c r="C917" s="173"/>
    </row>
    <row r="918" spans="3:3" ht="15.75" customHeight="1">
      <c r="C918" s="173"/>
    </row>
    <row r="919" spans="3:3" ht="15.75" customHeight="1">
      <c r="C919" s="173"/>
    </row>
    <row r="920" spans="3:3" ht="15.75" customHeight="1">
      <c r="C920" s="173"/>
    </row>
    <row r="921" spans="3:3" ht="15.75" customHeight="1">
      <c r="C921" s="173"/>
    </row>
    <row r="922" spans="3:3" ht="15.75" customHeight="1">
      <c r="C922" s="173"/>
    </row>
    <row r="923" spans="3:3" ht="15.75" customHeight="1">
      <c r="C923" s="173"/>
    </row>
    <row r="924" spans="3:3" ht="15.75" customHeight="1">
      <c r="C924" s="173"/>
    </row>
    <row r="925" spans="3:3" ht="15.75" customHeight="1">
      <c r="C925" s="173"/>
    </row>
    <row r="926" spans="3:3" ht="15.75" customHeight="1">
      <c r="C926" s="173"/>
    </row>
    <row r="927" spans="3:3" ht="15.75" customHeight="1">
      <c r="C927" s="173"/>
    </row>
    <row r="928" spans="3:3" ht="15.75" customHeight="1">
      <c r="C928" s="173"/>
    </row>
    <row r="929" spans="3:3" ht="15.75" customHeight="1">
      <c r="C929" s="173"/>
    </row>
    <row r="930" spans="3:3" ht="15.75" customHeight="1">
      <c r="C930" s="173"/>
    </row>
    <row r="931" spans="3:3" ht="15.75" customHeight="1">
      <c r="C931" s="173"/>
    </row>
    <row r="932" spans="3:3" ht="15.75" customHeight="1">
      <c r="C932" s="173"/>
    </row>
    <row r="933" spans="3:3" ht="15.75" customHeight="1">
      <c r="C933" s="173"/>
    </row>
    <row r="934" spans="3:3" ht="15.75" customHeight="1">
      <c r="C934" s="173"/>
    </row>
    <row r="935" spans="3:3" ht="15.75" customHeight="1">
      <c r="C935" s="173"/>
    </row>
    <row r="936" spans="3:3" ht="15.75" customHeight="1">
      <c r="C936" s="173"/>
    </row>
    <row r="937" spans="3:3" ht="15.75" customHeight="1">
      <c r="C937" s="173"/>
    </row>
    <row r="938" spans="3:3" ht="15.75" customHeight="1">
      <c r="C938" s="173"/>
    </row>
    <row r="939" spans="3:3" ht="15.75" customHeight="1">
      <c r="C939" s="173"/>
    </row>
    <row r="940" spans="3:3" ht="15.75" customHeight="1">
      <c r="C940" s="173"/>
    </row>
    <row r="941" spans="3:3" ht="15.75" customHeight="1">
      <c r="C941" s="173"/>
    </row>
    <row r="942" spans="3:3" ht="15.75" customHeight="1">
      <c r="C942" s="173"/>
    </row>
    <row r="943" spans="3:3" ht="15.75" customHeight="1">
      <c r="C943" s="173"/>
    </row>
    <row r="944" spans="3:3" ht="15.75" customHeight="1">
      <c r="C944" s="173"/>
    </row>
    <row r="945" spans="3:3" ht="15.75" customHeight="1">
      <c r="C945" s="173"/>
    </row>
    <row r="946" spans="3:3" ht="15.75" customHeight="1">
      <c r="C946" s="173"/>
    </row>
    <row r="947" spans="3:3" ht="15.75" customHeight="1">
      <c r="C947" s="173"/>
    </row>
    <row r="948" spans="3:3" ht="15.75" customHeight="1">
      <c r="C948" s="173"/>
    </row>
    <row r="949" spans="3:3" ht="15.75" customHeight="1">
      <c r="C949" s="173"/>
    </row>
    <row r="950" spans="3:3" ht="15.75" customHeight="1">
      <c r="C950" s="173"/>
    </row>
    <row r="951" spans="3:3" ht="15.75" customHeight="1">
      <c r="C951" s="173"/>
    </row>
    <row r="952" spans="3:3" ht="15.75" customHeight="1">
      <c r="C952" s="173"/>
    </row>
    <row r="953" spans="3:3" ht="15.75" customHeight="1">
      <c r="C953" s="173"/>
    </row>
    <row r="954" spans="3:3" ht="15.75" customHeight="1">
      <c r="C954" s="173"/>
    </row>
    <row r="955" spans="3:3" ht="15.75" customHeight="1">
      <c r="C955" s="173"/>
    </row>
    <row r="956" spans="3:3" ht="15.75" customHeight="1">
      <c r="C956" s="173"/>
    </row>
    <row r="957" spans="3:3" ht="15.75" customHeight="1">
      <c r="C957" s="173"/>
    </row>
    <row r="958" spans="3:3" ht="15.75" customHeight="1">
      <c r="C958" s="173"/>
    </row>
    <row r="959" spans="3:3" ht="15.75" customHeight="1">
      <c r="C959" s="173"/>
    </row>
    <row r="960" spans="3:3" ht="15.75" customHeight="1">
      <c r="C960" s="173"/>
    </row>
    <row r="961" spans="3:3" ht="15.75" customHeight="1">
      <c r="C961" s="173"/>
    </row>
    <row r="962" spans="3:3" ht="15.75" customHeight="1">
      <c r="C962" s="173"/>
    </row>
    <row r="963" spans="3:3" ht="15.75" customHeight="1">
      <c r="C963" s="173"/>
    </row>
    <row r="964" spans="3:3" ht="15.75" customHeight="1">
      <c r="C964" s="173"/>
    </row>
    <row r="965" spans="3:3" ht="15.75" customHeight="1">
      <c r="C965" s="173"/>
    </row>
    <row r="966" spans="3:3" ht="15.75" customHeight="1">
      <c r="C966" s="173"/>
    </row>
    <row r="967" spans="3:3" ht="15.75" customHeight="1">
      <c r="C967" s="173"/>
    </row>
    <row r="968" spans="3:3" ht="15.75" customHeight="1">
      <c r="C968" s="173"/>
    </row>
    <row r="969" spans="3:3" ht="15.75" customHeight="1">
      <c r="C969" s="173"/>
    </row>
    <row r="970" spans="3:3" ht="15.75" customHeight="1">
      <c r="C970" s="173"/>
    </row>
    <row r="971" spans="3:3" ht="15.75" customHeight="1">
      <c r="C971" s="173"/>
    </row>
    <row r="972" spans="3:3" ht="15.75" customHeight="1">
      <c r="C972" s="173"/>
    </row>
    <row r="973" spans="3:3" ht="15.75" customHeight="1">
      <c r="C973" s="173"/>
    </row>
    <row r="974" spans="3:3" ht="15.75" customHeight="1">
      <c r="C974" s="173"/>
    </row>
    <row r="975" spans="3:3" ht="15.75" customHeight="1">
      <c r="C975" s="173"/>
    </row>
    <row r="976" spans="3:3" ht="15.75" customHeight="1">
      <c r="C976" s="173"/>
    </row>
    <row r="977" spans="3:3" ht="15.75" customHeight="1">
      <c r="C977" s="173"/>
    </row>
    <row r="978" spans="3:3" ht="15.75" customHeight="1">
      <c r="C978" s="173"/>
    </row>
    <row r="979" spans="3:3" ht="15.75" customHeight="1">
      <c r="C979" s="173"/>
    </row>
    <row r="980" spans="3:3" ht="15.75" customHeight="1">
      <c r="C980" s="173"/>
    </row>
    <row r="981" spans="3:3" ht="15.75" customHeight="1">
      <c r="C981" s="173"/>
    </row>
    <row r="982" spans="3:3" ht="15.75" customHeight="1">
      <c r="C982" s="173"/>
    </row>
    <row r="983" spans="3:3" ht="15.75" customHeight="1">
      <c r="C983" s="173"/>
    </row>
    <row r="984" spans="3:3" ht="15.75" customHeight="1">
      <c r="C984" s="173"/>
    </row>
    <row r="985" spans="3:3" ht="15.75" customHeight="1">
      <c r="C985" s="173"/>
    </row>
    <row r="986" spans="3:3" ht="15.75" customHeight="1">
      <c r="C986" s="173"/>
    </row>
    <row r="987" spans="3:3" ht="15.75" customHeight="1">
      <c r="C987" s="173"/>
    </row>
    <row r="988" spans="3:3" ht="15.75" customHeight="1">
      <c r="C988" s="173"/>
    </row>
    <row r="989" spans="3:3" ht="15.75" customHeight="1">
      <c r="C989" s="173"/>
    </row>
    <row r="990" spans="3:3" ht="15.75" customHeight="1">
      <c r="C990" s="173"/>
    </row>
    <row r="991" spans="3:3" ht="15.75" customHeight="1">
      <c r="C991" s="173"/>
    </row>
    <row r="992" spans="3:3" ht="15.75" customHeight="1">
      <c r="C992" s="173"/>
    </row>
    <row r="993" spans="3:3" ht="15.75" customHeight="1">
      <c r="C993" s="173"/>
    </row>
    <row r="994" spans="3:3" ht="15.75" customHeight="1">
      <c r="C994" s="173"/>
    </row>
  </sheetData>
  <mergeCells count="2">
    <mergeCell ref="C1:F2"/>
    <mergeCell ref="C34:F3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T1014"/>
  <sheetViews>
    <sheetView workbookViewId="0">
      <pane ySplit="15" topLeftCell="A16" activePane="bottomLeft" state="frozen"/>
      <selection pane="bottomLeft" activeCell="B17" sqref="B17"/>
    </sheetView>
  </sheetViews>
  <sheetFormatPr baseColWidth="10" defaultColWidth="14.453125" defaultRowHeight="15" customHeight="1"/>
  <sheetData>
    <row r="1" spans="1:20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>
      <c r="A2" s="175" t="s">
        <v>232</v>
      </c>
      <c r="B2" s="176">
        <f>Amort_Immobilisation!G12+Amort_Immobilisation!G21+Amort_Immobilisation!G30</f>
        <v>37300000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>
      <c r="A3" s="175" t="s">
        <v>233</v>
      </c>
      <c r="B3" s="177">
        <v>60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0">
      <c r="A4" s="175" t="s">
        <v>234</v>
      </c>
      <c r="B4" s="178">
        <v>0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>
      <c r="A5" s="175" t="s">
        <v>235</v>
      </c>
      <c r="B5" s="179">
        <f>Hypotheses!F23</f>
        <v>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</row>
    <row r="6" spans="1:20">
      <c r="A6" s="180" t="s">
        <v>236</v>
      </c>
      <c r="B6" s="181">
        <f>IF(B4=0,-PMT(B9,B3,B2),-PMT(B9,B3-B4,B2))</f>
        <v>802276.92639607925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</row>
    <row r="7" spans="1:20">
      <c r="A7" s="175" t="s">
        <v>237</v>
      </c>
      <c r="B7" s="182">
        <v>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</row>
    <row r="8" spans="1:20">
      <c r="A8" s="175" t="s">
        <v>238</v>
      </c>
      <c r="B8" s="183">
        <v>17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9" spans="1:20">
      <c r="A9" s="174" t="s">
        <v>239</v>
      </c>
      <c r="B9" s="184">
        <f>((B5/100)*(1+B8/100)+B7/100)/12</f>
        <v>8.7749999999999998E-3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</row>
    <row r="10" spans="1:20">
      <c r="A10" s="175"/>
      <c r="B10" s="175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</row>
    <row r="11" spans="1:20">
      <c r="A11" s="185" t="s">
        <v>240</v>
      </c>
      <c r="B11" s="186">
        <f>IF(B4=0,0,(1+B8/100)*(B2*B5/100)/12)</f>
        <v>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</row>
    <row r="12" spans="1:20">
      <c r="A12" s="174" t="s">
        <v>241</v>
      </c>
      <c r="B12" s="187">
        <f>+B6*B3</f>
        <v>48136615.583764754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</row>
    <row r="13" spans="1:20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</row>
    <row r="14" spans="1:20">
      <c r="A14" s="174" t="s">
        <v>242</v>
      </c>
      <c r="B14" s="174"/>
      <c r="C14" s="174" t="s">
        <v>243</v>
      </c>
      <c r="D14" s="174" t="s">
        <v>244</v>
      </c>
      <c r="E14" s="174" t="s">
        <v>245</v>
      </c>
      <c r="F14" s="174" t="s">
        <v>246</v>
      </c>
      <c r="G14" s="174" t="s">
        <v>247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</row>
    <row r="15" spans="1:20">
      <c r="A15" s="188"/>
      <c r="B15" s="188"/>
      <c r="C15" s="188"/>
      <c r="D15" s="188"/>
      <c r="E15" s="188"/>
      <c r="F15" s="188"/>
      <c r="G15" s="189">
        <f>+B2</f>
        <v>37300000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</row>
    <row r="16" spans="1:20">
      <c r="A16" s="190">
        <v>1</v>
      </c>
      <c r="B16" s="191"/>
      <c r="C16" s="192">
        <f t="shared" ref="C16:C75" si="0">+F16-D16-E16</f>
        <v>474969.42639607925</v>
      </c>
      <c r="D16" s="192">
        <f t="shared" ref="D16:D75" si="1">+G15*$B$5/1200</f>
        <v>279750</v>
      </c>
      <c r="E16" s="192">
        <f t="shared" ref="E16:E75" si="2">+D16*$B$8/100</f>
        <v>47557.5</v>
      </c>
      <c r="F16" s="192">
        <f t="shared" ref="F16:F75" si="3">+$B$6</f>
        <v>802276.92639607925</v>
      </c>
      <c r="G16" s="193">
        <f t="shared" ref="G16:G75" si="4">+G15-C16</f>
        <v>36825030.573603921</v>
      </c>
      <c r="H16" s="174"/>
      <c r="I16" s="194"/>
      <c r="J16" s="194">
        <f>Hypotheses!G5</f>
        <v>2021</v>
      </c>
      <c r="K16" s="194">
        <f>Hypotheses!H5</f>
        <v>2022</v>
      </c>
      <c r="L16" s="194">
        <f>Hypotheses!I5</f>
        <v>2023</v>
      </c>
      <c r="M16" s="194">
        <f>Hypotheses!J5</f>
        <v>2024</v>
      </c>
      <c r="N16" s="194">
        <f>Hypotheses!K5</f>
        <v>2025</v>
      </c>
      <c r="O16" s="174"/>
      <c r="P16" s="174"/>
      <c r="Q16" s="174"/>
      <c r="R16" s="174"/>
      <c r="S16" s="174"/>
      <c r="T16" s="174"/>
    </row>
    <row r="17" spans="1:20">
      <c r="A17" s="195">
        <v>2</v>
      </c>
      <c r="B17" s="185"/>
      <c r="C17" s="196">
        <f t="shared" si="0"/>
        <v>479137.28311270475</v>
      </c>
      <c r="D17" s="196">
        <f t="shared" si="1"/>
        <v>276187.72930202942</v>
      </c>
      <c r="E17" s="196">
        <f t="shared" si="2"/>
        <v>46951.913981344995</v>
      </c>
      <c r="F17" s="196">
        <f t="shared" si="3"/>
        <v>802276.92639607925</v>
      </c>
      <c r="G17" s="197">
        <f t="shared" si="4"/>
        <v>36345893.290491216</v>
      </c>
      <c r="H17" s="174"/>
      <c r="I17" s="198" t="s">
        <v>248</v>
      </c>
      <c r="J17" s="199">
        <f>SUM(C16:C27)</f>
        <v>5982918.819978537</v>
      </c>
      <c r="K17" s="199">
        <f>SUM(C28:C39)</f>
        <v>6644232.7794473656</v>
      </c>
      <c r="L17" s="199">
        <f>SUM(C40:C51)</f>
        <v>7378644.1962187951</v>
      </c>
      <c r="M17" s="199">
        <f>SUM(C52:C63)</f>
        <v>8194232.8003327046</v>
      </c>
      <c r="N17" s="199">
        <f>SUM(C64:C75)</f>
        <v>9099971.4040225986</v>
      </c>
      <c r="O17" s="174"/>
      <c r="P17" s="174"/>
      <c r="Q17" s="174"/>
      <c r="R17" s="174"/>
      <c r="S17" s="174"/>
      <c r="T17" s="174"/>
    </row>
    <row r="18" spans="1:20">
      <c r="A18" s="195">
        <v>3</v>
      </c>
      <c r="B18" s="185"/>
      <c r="C18" s="196">
        <f t="shared" si="0"/>
        <v>483341.71277201886</v>
      </c>
      <c r="D18" s="196">
        <f t="shared" si="1"/>
        <v>272594.19967868412</v>
      </c>
      <c r="E18" s="196">
        <f t="shared" si="2"/>
        <v>46341.013945376297</v>
      </c>
      <c r="F18" s="200">
        <f t="shared" si="3"/>
        <v>802276.92639607925</v>
      </c>
      <c r="G18" s="197">
        <f t="shared" si="4"/>
        <v>35862551.577719197</v>
      </c>
      <c r="H18" s="174"/>
      <c r="I18" s="198" t="s">
        <v>249</v>
      </c>
      <c r="J18" s="199">
        <f>SUM(D16:D27)+SUM(E16:E27)</f>
        <v>3644404.2967744134</v>
      </c>
      <c r="K18" s="199">
        <f>SUM(D28:D39)+SUM(E28:E39)</f>
        <v>2983090.3373055868</v>
      </c>
      <c r="L18" s="199">
        <f>SUM(D40:D51)+SUM(E40:E51)</f>
        <v>2248678.9205341553</v>
      </c>
      <c r="M18" s="199">
        <f>SUM(D52:D63)+SUM(E52:E63)</f>
        <v>1433090.3164202468</v>
      </c>
      <c r="N18" s="199">
        <f>SUM(D64:D75)+SUM(E64:E75)</f>
        <v>527351.7127303523</v>
      </c>
      <c r="O18" s="174"/>
      <c r="P18" s="174"/>
      <c r="Q18" s="174"/>
      <c r="R18" s="174"/>
      <c r="S18" s="174"/>
      <c r="T18" s="174"/>
    </row>
    <row r="19" spans="1:20">
      <c r="A19" s="195">
        <v>4</v>
      </c>
      <c r="B19" s="185"/>
      <c r="C19" s="196">
        <f t="shared" si="0"/>
        <v>487583.0363015933</v>
      </c>
      <c r="D19" s="196">
        <f t="shared" si="1"/>
        <v>268969.136832894</v>
      </c>
      <c r="E19" s="196">
        <f t="shared" si="2"/>
        <v>45724.753261591977</v>
      </c>
      <c r="F19" s="196">
        <f t="shared" si="3"/>
        <v>802276.92639607925</v>
      </c>
      <c r="G19" s="197">
        <f t="shared" si="4"/>
        <v>35374968.541417606</v>
      </c>
      <c r="H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</row>
    <row r="20" spans="1:20">
      <c r="A20" s="195">
        <v>5</v>
      </c>
      <c r="B20" s="185"/>
      <c r="C20" s="196">
        <f t="shared" si="0"/>
        <v>491861.57744513982</v>
      </c>
      <c r="D20" s="196">
        <f t="shared" si="1"/>
        <v>265312.26406063203</v>
      </c>
      <c r="E20" s="196">
        <f t="shared" si="2"/>
        <v>45103.084890307451</v>
      </c>
      <c r="F20" s="200">
        <f t="shared" si="3"/>
        <v>802276.92639607925</v>
      </c>
      <c r="G20" s="197">
        <f t="shared" si="4"/>
        <v>34883106.963972464</v>
      </c>
      <c r="H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</row>
    <row r="21" spans="1:20">
      <c r="A21" s="195">
        <v>6</v>
      </c>
      <c r="B21" s="185"/>
      <c r="C21" s="196">
        <f t="shared" si="0"/>
        <v>496177.66278722085</v>
      </c>
      <c r="D21" s="196">
        <f t="shared" si="1"/>
        <v>261623.30222979348</v>
      </c>
      <c r="E21" s="196">
        <f t="shared" si="2"/>
        <v>44475.961379064887</v>
      </c>
      <c r="F21" s="196">
        <f t="shared" si="3"/>
        <v>802276.92639607925</v>
      </c>
      <c r="G21" s="197">
        <f t="shared" si="4"/>
        <v>34386929.301185243</v>
      </c>
      <c r="H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</row>
    <row r="22" spans="1:20">
      <c r="A22" s="195">
        <v>7</v>
      </c>
      <c r="B22" s="185"/>
      <c r="C22" s="196">
        <f t="shared" si="0"/>
        <v>500531.62177817879</v>
      </c>
      <c r="D22" s="196">
        <f t="shared" si="1"/>
        <v>257901.96975888932</v>
      </c>
      <c r="E22" s="196">
        <f t="shared" si="2"/>
        <v>43843.334859011185</v>
      </c>
      <c r="F22" s="200">
        <f t="shared" si="3"/>
        <v>802276.92639607925</v>
      </c>
      <c r="G22" s="197">
        <f t="shared" si="4"/>
        <v>33886397.679407068</v>
      </c>
      <c r="H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</row>
    <row r="23" spans="1:20">
      <c r="A23" s="195">
        <v>8</v>
      </c>
      <c r="B23" s="185"/>
      <c r="C23" s="196">
        <f t="shared" si="0"/>
        <v>504923.78675928217</v>
      </c>
      <c r="D23" s="196">
        <f t="shared" si="1"/>
        <v>254147.98259555301</v>
      </c>
      <c r="E23" s="196">
        <f t="shared" si="2"/>
        <v>43205.157041244012</v>
      </c>
      <c r="F23" s="196">
        <f t="shared" si="3"/>
        <v>802276.92639607925</v>
      </c>
      <c r="G23" s="197">
        <f t="shared" si="4"/>
        <v>33381473.892647784</v>
      </c>
      <c r="H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1:20">
      <c r="A24" s="195">
        <v>9</v>
      </c>
      <c r="B24" s="185"/>
      <c r="C24" s="196">
        <f t="shared" si="0"/>
        <v>509354.49298809492</v>
      </c>
      <c r="D24" s="196">
        <f t="shared" si="1"/>
        <v>250361.05419485839</v>
      </c>
      <c r="E24" s="196">
        <f t="shared" si="2"/>
        <v>42561.379213125932</v>
      </c>
      <c r="F24" s="200">
        <f t="shared" si="3"/>
        <v>802276.92639607925</v>
      </c>
      <c r="G24" s="197">
        <f t="shared" si="4"/>
        <v>32872119.39965969</v>
      </c>
      <c r="H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1:20">
      <c r="A25" s="195">
        <v>10</v>
      </c>
      <c r="B25" s="185"/>
      <c r="C25" s="196">
        <f t="shared" si="0"/>
        <v>513824.07866406546</v>
      </c>
      <c r="D25" s="196">
        <f t="shared" si="1"/>
        <v>246540.89549744764</v>
      </c>
      <c r="E25" s="196">
        <f t="shared" si="2"/>
        <v>41911.952234566103</v>
      </c>
      <c r="F25" s="196">
        <f t="shared" si="3"/>
        <v>802276.92639607925</v>
      </c>
      <c r="G25" s="197">
        <f t="shared" si="4"/>
        <v>32358295.320995625</v>
      </c>
      <c r="H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</row>
    <row r="26" spans="1:20">
      <c r="A26" s="195">
        <v>11</v>
      </c>
      <c r="B26" s="185"/>
      <c r="C26" s="196">
        <f t="shared" si="0"/>
        <v>518332.88495434268</v>
      </c>
      <c r="D26" s="196">
        <f t="shared" si="1"/>
        <v>242687.21490746716</v>
      </c>
      <c r="E26" s="196">
        <f t="shared" si="2"/>
        <v>41256.826534269421</v>
      </c>
      <c r="F26" s="200">
        <f t="shared" si="3"/>
        <v>802276.92639607925</v>
      </c>
      <c r="G26" s="197">
        <f t="shared" si="4"/>
        <v>31839962.436041281</v>
      </c>
      <c r="H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1:20">
      <c r="A27" s="201">
        <v>12</v>
      </c>
      <c r="B27" s="202"/>
      <c r="C27" s="203">
        <f t="shared" si="0"/>
        <v>522881.25601981697</v>
      </c>
      <c r="D27" s="203">
        <f t="shared" si="1"/>
        <v>238799.71827030962</v>
      </c>
      <c r="E27" s="203">
        <f t="shared" si="2"/>
        <v>40595.952105952638</v>
      </c>
      <c r="F27" s="203">
        <f t="shared" si="3"/>
        <v>802276.92639607925</v>
      </c>
      <c r="G27" s="204">
        <f t="shared" si="4"/>
        <v>31317081.180021465</v>
      </c>
      <c r="H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1:20">
      <c r="A28" s="190">
        <v>13</v>
      </c>
      <c r="B28" s="191"/>
      <c r="C28" s="192">
        <f t="shared" si="0"/>
        <v>527469.53904139088</v>
      </c>
      <c r="D28" s="192">
        <f t="shared" si="1"/>
        <v>234878.10885016099</v>
      </c>
      <c r="E28" s="192">
        <f t="shared" si="2"/>
        <v>39929.27850452737</v>
      </c>
      <c r="F28" s="205">
        <f t="shared" si="3"/>
        <v>802276.92639607925</v>
      </c>
      <c r="G28" s="193">
        <f t="shared" si="4"/>
        <v>30789611.640980072</v>
      </c>
      <c r="H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  <row r="29" spans="1:20">
      <c r="A29" s="195">
        <v>14</v>
      </c>
      <c r="B29" s="185"/>
      <c r="C29" s="196">
        <f t="shared" si="0"/>
        <v>532098.08424647909</v>
      </c>
      <c r="D29" s="196">
        <f t="shared" si="1"/>
        <v>230922.08730735054</v>
      </c>
      <c r="E29" s="196">
        <f t="shared" si="2"/>
        <v>39256.754842249589</v>
      </c>
      <c r="F29" s="196">
        <f t="shared" si="3"/>
        <v>802276.92639607925</v>
      </c>
      <c r="G29" s="197">
        <f t="shared" si="4"/>
        <v>30257513.556733593</v>
      </c>
      <c r="H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</row>
    <row r="30" spans="1:20">
      <c r="A30" s="195">
        <v>15</v>
      </c>
      <c r="B30" s="185"/>
      <c r="C30" s="196">
        <f t="shared" si="0"/>
        <v>536767.244935742</v>
      </c>
      <c r="D30" s="196">
        <f t="shared" si="1"/>
        <v>226931.35167550197</v>
      </c>
      <c r="E30" s="196">
        <f t="shared" si="2"/>
        <v>38578.329784835332</v>
      </c>
      <c r="F30" s="200">
        <f t="shared" si="3"/>
        <v>802276.92639607925</v>
      </c>
      <c r="G30" s="197">
        <f t="shared" si="4"/>
        <v>29720746.31179785</v>
      </c>
      <c r="H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</row>
    <row r="31" spans="1:20">
      <c r="A31" s="195">
        <v>16</v>
      </c>
      <c r="B31" s="185"/>
      <c r="C31" s="196">
        <f t="shared" si="0"/>
        <v>541477.37751005311</v>
      </c>
      <c r="D31" s="196">
        <f t="shared" si="1"/>
        <v>222905.59733848387</v>
      </c>
      <c r="E31" s="196">
        <f t="shared" si="2"/>
        <v>37893.95154754226</v>
      </c>
      <c r="F31" s="196">
        <f t="shared" si="3"/>
        <v>802276.92639607925</v>
      </c>
      <c r="G31" s="197">
        <f t="shared" si="4"/>
        <v>29179268.934287798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</row>
    <row r="32" spans="1:20">
      <c r="A32" s="195">
        <v>17</v>
      </c>
      <c r="B32" s="185"/>
      <c r="C32" s="196">
        <f t="shared" si="0"/>
        <v>546228.8414977038</v>
      </c>
      <c r="D32" s="196">
        <f t="shared" si="1"/>
        <v>218844.51700715849</v>
      </c>
      <c r="E32" s="196">
        <f t="shared" si="2"/>
        <v>37203.567891216946</v>
      </c>
      <c r="F32" s="200">
        <f t="shared" si="3"/>
        <v>802276.92639607925</v>
      </c>
      <c r="G32" s="197">
        <f t="shared" si="4"/>
        <v>28633040.092790093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1:20">
      <c r="A33" s="195">
        <v>18</v>
      </c>
      <c r="B33" s="185"/>
      <c r="C33" s="196">
        <f t="shared" si="0"/>
        <v>551021.99958184618</v>
      </c>
      <c r="D33" s="196">
        <f t="shared" si="1"/>
        <v>214747.80069592569</v>
      </c>
      <c r="E33" s="196">
        <f t="shared" si="2"/>
        <v>36507.126118307366</v>
      </c>
      <c r="F33" s="196">
        <f t="shared" si="3"/>
        <v>802276.92639607925</v>
      </c>
      <c r="G33" s="197">
        <f t="shared" si="4"/>
        <v>28082018.093208246</v>
      </c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1:20">
      <c r="A34" s="195">
        <v>19</v>
      </c>
      <c r="B34" s="185"/>
      <c r="C34" s="196">
        <f t="shared" si="0"/>
        <v>555857.21762817691</v>
      </c>
      <c r="D34" s="196">
        <f t="shared" si="1"/>
        <v>210615.13569906185</v>
      </c>
      <c r="E34" s="196">
        <f t="shared" si="2"/>
        <v>35804.573068840516</v>
      </c>
      <c r="F34" s="200">
        <f t="shared" si="3"/>
        <v>802276.92639607925</v>
      </c>
      <c r="G34" s="197">
        <f t="shared" si="4"/>
        <v>27526160.875580069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1:20">
      <c r="A35" s="195">
        <v>20</v>
      </c>
      <c r="B35" s="185"/>
      <c r="C35" s="196">
        <f t="shared" si="0"/>
        <v>560734.86471286416</v>
      </c>
      <c r="D35" s="196">
        <f t="shared" si="1"/>
        <v>206446.20656685051</v>
      </c>
      <c r="E35" s="196">
        <f t="shared" si="2"/>
        <v>35095.85511636459</v>
      </c>
      <c r="F35" s="196">
        <f t="shared" si="3"/>
        <v>802276.92639607925</v>
      </c>
      <c r="G35" s="197">
        <f t="shared" si="4"/>
        <v>26965426.010867205</v>
      </c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1:20">
      <c r="A36" s="195">
        <v>21</v>
      </c>
      <c r="B36" s="185"/>
      <c r="C36" s="196">
        <f t="shared" si="0"/>
        <v>565655.31315071951</v>
      </c>
      <c r="D36" s="196">
        <f t="shared" si="1"/>
        <v>202240.69508150403</v>
      </c>
      <c r="E36" s="196">
        <f t="shared" si="2"/>
        <v>34380.918163855684</v>
      </c>
      <c r="F36" s="200">
        <f t="shared" si="3"/>
        <v>802276.92639607925</v>
      </c>
      <c r="G36" s="197">
        <f t="shared" si="4"/>
        <v>26399770.697716486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</row>
    <row r="37" spans="1:20">
      <c r="A37" s="195">
        <v>22</v>
      </c>
      <c r="B37" s="185"/>
      <c r="C37" s="196">
        <f t="shared" si="0"/>
        <v>570618.93852361711</v>
      </c>
      <c r="D37" s="196">
        <f t="shared" si="1"/>
        <v>197998.28023287363</v>
      </c>
      <c r="E37" s="196">
        <f t="shared" si="2"/>
        <v>33659.707639588516</v>
      </c>
      <c r="F37" s="196">
        <f t="shared" si="3"/>
        <v>802276.92639607925</v>
      </c>
      <c r="G37" s="197">
        <f t="shared" si="4"/>
        <v>25829151.759192869</v>
      </c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</row>
    <row r="38" spans="1:20">
      <c r="A38" s="195">
        <v>23</v>
      </c>
      <c r="B38" s="185"/>
      <c r="C38" s="196">
        <f t="shared" si="0"/>
        <v>575626.11970916181</v>
      </c>
      <c r="D38" s="196">
        <f t="shared" si="1"/>
        <v>193718.63819394654</v>
      </c>
      <c r="E38" s="196">
        <f t="shared" si="2"/>
        <v>32932.168492970908</v>
      </c>
      <c r="F38" s="200">
        <f t="shared" si="3"/>
        <v>802276.92639607925</v>
      </c>
      <c r="G38" s="197">
        <f t="shared" si="4"/>
        <v>25253525.639483709</v>
      </c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1:20">
      <c r="A39" s="201">
        <v>24</v>
      </c>
      <c r="B39" s="202"/>
      <c r="C39" s="203">
        <f t="shared" si="0"/>
        <v>580677.23890960973</v>
      </c>
      <c r="D39" s="203">
        <f t="shared" si="1"/>
        <v>189401.44229612782</v>
      </c>
      <c r="E39" s="203">
        <f t="shared" si="2"/>
        <v>32198.245190341728</v>
      </c>
      <c r="F39" s="203">
        <f t="shared" si="3"/>
        <v>802276.92639607925</v>
      </c>
      <c r="G39" s="204">
        <f t="shared" si="4"/>
        <v>24672848.400574099</v>
      </c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</row>
    <row r="40" spans="1:20">
      <c r="A40" s="190">
        <v>25</v>
      </c>
      <c r="B40" s="191"/>
      <c r="C40" s="192">
        <f t="shared" si="0"/>
        <v>585772.68168104149</v>
      </c>
      <c r="D40" s="192">
        <f t="shared" si="1"/>
        <v>185046.36300430575</v>
      </c>
      <c r="E40" s="192">
        <f t="shared" si="2"/>
        <v>31457.881710731977</v>
      </c>
      <c r="F40" s="205">
        <f t="shared" si="3"/>
        <v>802276.92639607925</v>
      </c>
      <c r="G40" s="193">
        <f t="shared" si="4"/>
        <v>24087075.718893059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</row>
    <row r="41" spans="1:20">
      <c r="A41" s="195">
        <v>26</v>
      </c>
      <c r="B41" s="185"/>
      <c r="C41" s="196">
        <f t="shared" si="0"/>
        <v>590912.83696279267</v>
      </c>
      <c r="D41" s="196">
        <f t="shared" si="1"/>
        <v>180653.06789169792</v>
      </c>
      <c r="E41" s="196">
        <f t="shared" si="2"/>
        <v>30711.021541588645</v>
      </c>
      <c r="F41" s="196">
        <f t="shared" si="3"/>
        <v>802276.92639607925</v>
      </c>
      <c r="G41" s="197">
        <f t="shared" si="4"/>
        <v>23496162.881930266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</row>
    <row r="42" spans="1:20">
      <c r="A42" s="195">
        <v>27</v>
      </c>
      <c r="B42" s="185"/>
      <c r="C42" s="196">
        <f t="shared" si="0"/>
        <v>596098.09710714116</v>
      </c>
      <c r="D42" s="196">
        <f t="shared" si="1"/>
        <v>176221.22161447699</v>
      </c>
      <c r="E42" s="196">
        <f t="shared" si="2"/>
        <v>29957.607674461091</v>
      </c>
      <c r="F42" s="200">
        <f t="shared" si="3"/>
        <v>802276.92639607925</v>
      </c>
      <c r="G42" s="197">
        <f t="shared" si="4"/>
        <v>22900064.784823123</v>
      </c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</row>
    <row r="43" spans="1:20">
      <c r="A43" s="195">
        <v>28</v>
      </c>
      <c r="B43" s="185"/>
      <c r="C43" s="196">
        <f t="shared" si="0"/>
        <v>601328.85790925636</v>
      </c>
      <c r="D43" s="196">
        <f t="shared" si="1"/>
        <v>171750.48588617341</v>
      </c>
      <c r="E43" s="196">
        <f t="shared" si="2"/>
        <v>29197.582600649479</v>
      </c>
      <c r="F43" s="196">
        <f t="shared" si="3"/>
        <v>802276.92639607925</v>
      </c>
      <c r="G43" s="197">
        <f t="shared" si="4"/>
        <v>22298735.926913869</v>
      </c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</row>
    <row r="44" spans="1:20">
      <c r="A44" s="195">
        <v>29</v>
      </c>
      <c r="B44" s="185"/>
      <c r="C44" s="196">
        <f t="shared" si="0"/>
        <v>606605.51863741013</v>
      </c>
      <c r="D44" s="196">
        <f t="shared" si="1"/>
        <v>167240.51945185399</v>
      </c>
      <c r="E44" s="196">
        <f t="shared" si="2"/>
        <v>28430.888306815177</v>
      </c>
      <c r="F44" s="200">
        <f t="shared" si="3"/>
        <v>802276.92639607925</v>
      </c>
      <c r="G44" s="197">
        <f t="shared" si="4"/>
        <v>21692130.408276457</v>
      </c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1:20">
      <c r="A45" s="195">
        <v>30</v>
      </c>
      <c r="B45" s="185"/>
      <c r="C45" s="196">
        <f t="shared" si="0"/>
        <v>611928.4820634533</v>
      </c>
      <c r="D45" s="196">
        <f t="shared" si="1"/>
        <v>162690.97806207344</v>
      </c>
      <c r="E45" s="196">
        <f t="shared" si="2"/>
        <v>27657.466270552482</v>
      </c>
      <c r="F45" s="196">
        <f t="shared" si="3"/>
        <v>802276.92639607925</v>
      </c>
      <c r="G45" s="197">
        <f t="shared" si="4"/>
        <v>21080201.926213004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1:20">
      <c r="A46" s="195">
        <v>31</v>
      </c>
      <c r="B46" s="185"/>
      <c r="C46" s="196">
        <f t="shared" si="0"/>
        <v>617298.15449356008</v>
      </c>
      <c r="D46" s="196">
        <f t="shared" si="1"/>
        <v>158101.51444659752</v>
      </c>
      <c r="E46" s="196">
        <f t="shared" si="2"/>
        <v>26877.257455921579</v>
      </c>
      <c r="F46" s="200">
        <f t="shared" si="3"/>
        <v>802276.92639607925</v>
      </c>
      <c r="G46" s="197">
        <f t="shared" si="4"/>
        <v>20462903.771719445</v>
      </c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1:20">
      <c r="A47" s="195">
        <v>32</v>
      </c>
      <c r="B47" s="185"/>
      <c r="C47" s="196">
        <f t="shared" si="0"/>
        <v>622714.94579924108</v>
      </c>
      <c r="D47" s="196">
        <f t="shared" si="1"/>
        <v>153471.77828789584</v>
      </c>
      <c r="E47" s="196">
        <f t="shared" si="2"/>
        <v>26090.202308942295</v>
      </c>
      <c r="F47" s="196">
        <f t="shared" si="3"/>
        <v>802276.92639607925</v>
      </c>
      <c r="G47" s="197">
        <f t="shared" si="4"/>
        <v>19840188.825920202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</row>
    <row r="48" spans="1:20">
      <c r="A48" s="195">
        <v>33</v>
      </c>
      <c r="B48" s="185"/>
      <c r="C48" s="196">
        <f t="shared" si="0"/>
        <v>628179.26944862946</v>
      </c>
      <c r="D48" s="196">
        <f t="shared" si="1"/>
        <v>148801.41619440151</v>
      </c>
      <c r="E48" s="196">
        <f t="shared" si="2"/>
        <v>25296.24075304826</v>
      </c>
      <c r="F48" s="200">
        <f t="shared" si="3"/>
        <v>802276.92639607925</v>
      </c>
      <c r="G48" s="197">
        <f t="shared" si="4"/>
        <v>19212009.556471571</v>
      </c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</row>
    <row r="49" spans="1:20">
      <c r="A49" s="195">
        <v>34</v>
      </c>
      <c r="B49" s="185"/>
      <c r="C49" s="196">
        <f t="shared" si="0"/>
        <v>633691.54253804125</v>
      </c>
      <c r="D49" s="196">
        <f t="shared" si="1"/>
        <v>144090.07167353679</v>
      </c>
      <c r="E49" s="196">
        <f t="shared" si="2"/>
        <v>24495.312184501254</v>
      </c>
      <c r="F49" s="196">
        <f t="shared" si="3"/>
        <v>802276.92639607925</v>
      </c>
      <c r="G49" s="197">
        <f t="shared" si="4"/>
        <v>18578318.013933532</v>
      </c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</row>
    <row r="50" spans="1:20">
      <c r="A50" s="195">
        <v>35</v>
      </c>
      <c r="B50" s="185"/>
      <c r="C50" s="196">
        <f t="shared" si="0"/>
        <v>639252.1858238125</v>
      </c>
      <c r="D50" s="196">
        <f t="shared" si="1"/>
        <v>139337.3851045015</v>
      </c>
      <c r="E50" s="196">
        <f t="shared" si="2"/>
        <v>23687.355467765257</v>
      </c>
      <c r="F50" s="200">
        <f t="shared" si="3"/>
        <v>802276.92639607925</v>
      </c>
      <c r="G50" s="197">
        <f t="shared" si="4"/>
        <v>17939065.828109719</v>
      </c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</row>
    <row r="51" spans="1:20">
      <c r="A51" s="201">
        <v>36</v>
      </c>
      <c r="B51" s="202"/>
      <c r="C51" s="203">
        <f t="shared" si="0"/>
        <v>644861.62375441648</v>
      </c>
      <c r="D51" s="203">
        <f t="shared" si="1"/>
        <v>134542.99371082289</v>
      </c>
      <c r="E51" s="203">
        <f t="shared" si="2"/>
        <v>22872.308930839892</v>
      </c>
      <c r="F51" s="203">
        <f t="shared" si="3"/>
        <v>802276.92639607925</v>
      </c>
      <c r="G51" s="204">
        <f t="shared" si="4"/>
        <v>17294204.204355303</v>
      </c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</row>
    <row r="52" spans="1:20">
      <c r="A52" s="190">
        <v>37</v>
      </c>
      <c r="B52" s="191"/>
      <c r="C52" s="192">
        <f t="shared" si="0"/>
        <v>650520.28450286144</v>
      </c>
      <c r="D52" s="192">
        <f t="shared" si="1"/>
        <v>129706.53153266477</v>
      </c>
      <c r="E52" s="192">
        <f t="shared" si="2"/>
        <v>22050.110360553008</v>
      </c>
      <c r="F52" s="205">
        <f t="shared" si="3"/>
        <v>802276.92639607925</v>
      </c>
      <c r="G52" s="193">
        <f t="shared" si="4"/>
        <v>16643683.919852441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1:20">
      <c r="A53" s="195">
        <v>38</v>
      </c>
      <c r="B53" s="185"/>
      <c r="C53" s="196">
        <f t="shared" si="0"/>
        <v>656228.59999937401</v>
      </c>
      <c r="D53" s="196">
        <f t="shared" si="1"/>
        <v>124827.62939889332</v>
      </c>
      <c r="E53" s="196">
        <f t="shared" si="2"/>
        <v>21220.696997811865</v>
      </c>
      <c r="F53" s="196">
        <f t="shared" si="3"/>
        <v>802276.92639607925</v>
      </c>
      <c r="G53" s="197">
        <f t="shared" si="4"/>
        <v>15987455.319853067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</row>
    <row r="54" spans="1:20">
      <c r="A54" s="195">
        <v>39</v>
      </c>
      <c r="B54" s="185"/>
      <c r="C54" s="196">
        <f t="shared" si="0"/>
        <v>661987.00596436858</v>
      </c>
      <c r="D54" s="196">
        <f t="shared" si="1"/>
        <v>119905.914898898</v>
      </c>
      <c r="E54" s="196">
        <f t="shared" si="2"/>
        <v>20384.005532812662</v>
      </c>
      <c r="F54" s="200">
        <f t="shared" si="3"/>
        <v>802276.92639607925</v>
      </c>
      <c r="G54" s="197">
        <f t="shared" si="4"/>
        <v>15325468.313888699</v>
      </c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</row>
    <row r="55" spans="1:20">
      <c r="A55" s="195">
        <v>40</v>
      </c>
      <c r="B55" s="185"/>
      <c r="C55" s="196">
        <f t="shared" si="0"/>
        <v>667795.941941706</v>
      </c>
      <c r="D55" s="196">
        <f t="shared" si="1"/>
        <v>114941.01235416524</v>
      </c>
      <c r="E55" s="196">
        <f t="shared" si="2"/>
        <v>19539.972100208091</v>
      </c>
      <c r="F55" s="196">
        <f t="shared" si="3"/>
        <v>802276.92639607925</v>
      </c>
      <c r="G55" s="197">
        <f t="shared" si="4"/>
        <v>14657672.371946992</v>
      </c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</row>
    <row r="56" spans="1:20">
      <c r="A56" s="195">
        <v>41</v>
      </c>
      <c r="B56" s="185"/>
      <c r="C56" s="196">
        <f t="shared" si="0"/>
        <v>673655.85133224446</v>
      </c>
      <c r="D56" s="196">
        <f t="shared" si="1"/>
        <v>109932.54278960243</v>
      </c>
      <c r="E56" s="196">
        <f t="shared" si="2"/>
        <v>18688.532274232413</v>
      </c>
      <c r="F56" s="200">
        <f t="shared" si="3"/>
        <v>802276.92639607925</v>
      </c>
      <c r="G56" s="197">
        <f t="shared" si="4"/>
        <v>13984016.520614747</v>
      </c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</row>
    <row r="57" spans="1:20">
      <c r="A57" s="195">
        <v>42</v>
      </c>
      <c r="B57" s="185"/>
      <c r="C57" s="196">
        <f t="shared" si="0"/>
        <v>679567.18142768485</v>
      </c>
      <c r="D57" s="196">
        <f t="shared" si="1"/>
        <v>104880.12390461061</v>
      </c>
      <c r="E57" s="196">
        <f t="shared" si="2"/>
        <v>17829.621063783801</v>
      </c>
      <c r="F57" s="196">
        <f t="shared" si="3"/>
        <v>802276.92639607925</v>
      </c>
      <c r="G57" s="197">
        <f t="shared" si="4"/>
        <v>13304449.339187061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</row>
    <row r="58" spans="1:20">
      <c r="A58" s="195">
        <v>43</v>
      </c>
      <c r="B58" s="185"/>
      <c r="C58" s="196">
        <f t="shared" si="0"/>
        <v>685530.38344471273</v>
      </c>
      <c r="D58" s="196">
        <f t="shared" si="1"/>
        <v>99783.370043902949</v>
      </c>
      <c r="E58" s="196">
        <f t="shared" si="2"/>
        <v>16963.1729074635</v>
      </c>
      <c r="F58" s="200">
        <f t="shared" si="3"/>
        <v>802276.92639607925</v>
      </c>
      <c r="G58" s="197">
        <f t="shared" si="4"/>
        <v>12618918.955742348</v>
      </c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</row>
    <row r="59" spans="1:20">
      <c r="A59" s="195">
        <v>44</v>
      </c>
      <c r="B59" s="185"/>
      <c r="C59" s="196">
        <f t="shared" si="0"/>
        <v>691545.91255944013</v>
      </c>
      <c r="D59" s="196">
        <f t="shared" si="1"/>
        <v>94641.892168067614</v>
      </c>
      <c r="E59" s="196">
        <f t="shared" si="2"/>
        <v>16089.121668571495</v>
      </c>
      <c r="F59" s="196">
        <f t="shared" si="3"/>
        <v>802276.92639607925</v>
      </c>
      <c r="G59" s="197">
        <f t="shared" si="4"/>
        <v>11927373.043182908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0" spans="1:20">
      <c r="A60" s="195">
        <v>45</v>
      </c>
      <c r="B60" s="185"/>
      <c r="C60" s="196">
        <f t="shared" si="0"/>
        <v>697614.22794214915</v>
      </c>
      <c r="D60" s="196">
        <f t="shared" si="1"/>
        <v>89455.297823871806</v>
      </c>
      <c r="E60" s="196">
        <f t="shared" si="2"/>
        <v>15207.400630058206</v>
      </c>
      <c r="F60" s="200">
        <f t="shared" si="3"/>
        <v>802276.92639607925</v>
      </c>
      <c r="G60" s="197">
        <f t="shared" si="4"/>
        <v>11229758.815240759</v>
      </c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1:20">
      <c r="A61" s="195">
        <v>46</v>
      </c>
      <c r="B61" s="185"/>
      <c r="C61" s="196">
        <f t="shared" si="0"/>
        <v>703735.79279234167</v>
      </c>
      <c r="D61" s="196">
        <f t="shared" si="1"/>
        <v>84223.191114305693</v>
      </c>
      <c r="E61" s="196">
        <f t="shared" si="2"/>
        <v>14317.942489431969</v>
      </c>
      <c r="F61" s="196">
        <f t="shared" si="3"/>
        <v>802276.92639607925</v>
      </c>
      <c r="G61" s="197">
        <f t="shared" si="4"/>
        <v>10526023.022448417</v>
      </c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</row>
    <row r="62" spans="1:20">
      <c r="A62" s="195">
        <v>47</v>
      </c>
      <c r="B62" s="185"/>
      <c r="C62" s="196">
        <f t="shared" si="0"/>
        <v>709911.07437409437</v>
      </c>
      <c r="D62" s="196">
        <f t="shared" si="1"/>
        <v>78945.172668363128</v>
      </c>
      <c r="E62" s="196">
        <f t="shared" si="2"/>
        <v>13420.679353621732</v>
      </c>
      <c r="F62" s="200">
        <f t="shared" si="3"/>
        <v>802276.92639607925</v>
      </c>
      <c r="G62" s="197">
        <f t="shared" si="4"/>
        <v>9816111.9480743222</v>
      </c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</row>
    <row r="63" spans="1:20">
      <c r="A63" s="201">
        <f t="shared" ref="A63:A75" si="5">A62+1</f>
        <v>48</v>
      </c>
      <c r="B63" s="202"/>
      <c r="C63" s="203">
        <f t="shared" si="0"/>
        <v>716140.54405172705</v>
      </c>
      <c r="D63" s="203">
        <f t="shared" si="1"/>
        <v>73620.839610557421</v>
      </c>
      <c r="E63" s="203">
        <f t="shared" si="2"/>
        <v>12515.542733794762</v>
      </c>
      <c r="F63" s="203">
        <f t="shared" si="3"/>
        <v>802276.92639607925</v>
      </c>
      <c r="G63" s="204">
        <f t="shared" si="4"/>
        <v>9099971.4040225949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</row>
    <row r="64" spans="1:20">
      <c r="A64" s="190">
        <f t="shared" si="5"/>
        <v>49</v>
      </c>
      <c r="B64" s="191"/>
      <c r="C64" s="192">
        <f t="shared" si="0"/>
        <v>722424.67732578097</v>
      </c>
      <c r="D64" s="192">
        <f t="shared" si="1"/>
        <v>68249.785530169451</v>
      </c>
      <c r="E64" s="192">
        <f t="shared" si="2"/>
        <v>11602.463540128807</v>
      </c>
      <c r="F64" s="205">
        <f t="shared" si="3"/>
        <v>802276.92639607925</v>
      </c>
      <c r="G64" s="193">
        <f t="shared" si="4"/>
        <v>8377546.7266968135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5" spans="1:20">
      <c r="A65" s="195">
        <f t="shared" si="5"/>
        <v>50</v>
      </c>
      <c r="B65" s="185"/>
      <c r="C65" s="196">
        <f t="shared" si="0"/>
        <v>728763.95386931475</v>
      </c>
      <c r="D65" s="196">
        <f t="shared" si="1"/>
        <v>62831.600450226106</v>
      </c>
      <c r="E65" s="196">
        <f t="shared" si="2"/>
        <v>10681.372076538439</v>
      </c>
      <c r="F65" s="196">
        <f t="shared" si="3"/>
        <v>802276.92639607925</v>
      </c>
      <c r="G65" s="197">
        <f t="shared" si="4"/>
        <v>7648782.7728274986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</row>
    <row r="66" spans="1:20">
      <c r="A66" s="195">
        <f t="shared" si="5"/>
        <v>51</v>
      </c>
      <c r="B66" s="185"/>
      <c r="C66" s="196">
        <f t="shared" si="0"/>
        <v>735158.85756451788</v>
      </c>
      <c r="D66" s="196">
        <f t="shared" si="1"/>
        <v>57365.870796206247</v>
      </c>
      <c r="E66" s="196">
        <f t="shared" si="2"/>
        <v>9752.1980353550625</v>
      </c>
      <c r="F66" s="200">
        <f t="shared" si="3"/>
        <v>802276.92639607925</v>
      </c>
      <c r="G66" s="197">
        <f t="shared" si="4"/>
        <v>6913623.9152629804</v>
      </c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</row>
    <row r="67" spans="1:20">
      <c r="A67" s="195">
        <f t="shared" si="5"/>
        <v>52</v>
      </c>
      <c r="B67" s="185"/>
      <c r="C67" s="196">
        <f t="shared" si="0"/>
        <v>741609.87653964653</v>
      </c>
      <c r="D67" s="196">
        <f t="shared" si="1"/>
        <v>51852.179364472351</v>
      </c>
      <c r="E67" s="196">
        <f t="shared" si="2"/>
        <v>8814.8704919603006</v>
      </c>
      <c r="F67" s="196">
        <f t="shared" si="3"/>
        <v>802276.92639607925</v>
      </c>
      <c r="G67" s="197">
        <f t="shared" si="4"/>
        <v>6172014.0387233337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</row>
    <row r="68" spans="1:20">
      <c r="A68" s="195">
        <f t="shared" si="5"/>
        <v>53</v>
      </c>
      <c r="B68" s="185"/>
      <c r="C68" s="196">
        <f t="shared" si="0"/>
        <v>748117.50320628204</v>
      </c>
      <c r="D68" s="196">
        <f t="shared" si="1"/>
        <v>46290.105290425003</v>
      </c>
      <c r="E68" s="196">
        <f t="shared" si="2"/>
        <v>7869.3178993722504</v>
      </c>
      <c r="F68" s="200">
        <f t="shared" si="3"/>
        <v>802276.92639607925</v>
      </c>
      <c r="G68" s="197">
        <f t="shared" si="4"/>
        <v>5423896.5355170518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1:20">
      <c r="A69" s="195">
        <f t="shared" si="5"/>
        <v>54</v>
      </c>
      <c r="B69" s="185"/>
      <c r="C69" s="196">
        <f t="shared" si="0"/>
        <v>754682.2342969171</v>
      </c>
      <c r="D69" s="196">
        <f t="shared" si="1"/>
        <v>40679.224016377892</v>
      </c>
      <c r="E69" s="196">
        <f t="shared" si="2"/>
        <v>6915.4680827842421</v>
      </c>
      <c r="F69" s="196">
        <f t="shared" si="3"/>
        <v>802276.92639607925</v>
      </c>
      <c r="G69" s="197">
        <f t="shared" si="4"/>
        <v>4669214.3012201348</v>
      </c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1:20">
      <c r="A70" s="195">
        <f t="shared" si="5"/>
        <v>55</v>
      </c>
      <c r="B70" s="185"/>
      <c r="C70" s="196">
        <f t="shared" si="0"/>
        <v>761304.57090287248</v>
      </c>
      <c r="D70" s="196">
        <f t="shared" si="1"/>
        <v>35019.107259151009</v>
      </c>
      <c r="E70" s="196">
        <f t="shared" si="2"/>
        <v>5953.2482340556717</v>
      </c>
      <c r="F70" s="200">
        <f t="shared" si="3"/>
        <v>802276.92639607925</v>
      </c>
      <c r="G70" s="197">
        <f t="shared" si="4"/>
        <v>3907909.7303172625</v>
      </c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</row>
    <row r="71" spans="1:20">
      <c r="A71" s="195">
        <f t="shared" si="5"/>
        <v>56</v>
      </c>
      <c r="B71" s="185"/>
      <c r="C71" s="196">
        <f t="shared" si="0"/>
        <v>767985.01851254527</v>
      </c>
      <c r="D71" s="196">
        <f t="shared" si="1"/>
        <v>29309.322977379466</v>
      </c>
      <c r="E71" s="196">
        <f t="shared" si="2"/>
        <v>4982.5849061545096</v>
      </c>
      <c r="F71" s="196">
        <f t="shared" si="3"/>
        <v>802276.92639607925</v>
      </c>
      <c r="G71" s="197">
        <f t="shared" si="4"/>
        <v>3139924.7118047173</v>
      </c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</row>
    <row r="72" spans="1:20">
      <c r="A72" s="195">
        <f t="shared" si="5"/>
        <v>57</v>
      </c>
      <c r="B72" s="185"/>
      <c r="C72" s="196">
        <f t="shared" si="0"/>
        <v>774724.08704999287</v>
      </c>
      <c r="D72" s="196">
        <f t="shared" si="1"/>
        <v>23549.435338535379</v>
      </c>
      <c r="E72" s="196">
        <f t="shared" si="2"/>
        <v>4003.4040075510147</v>
      </c>
      <c r="F72" s="200">
        <f t="shared" si="3"/>
        <v>802276.92639607925</v>
      </c>
      <c r="G72" s="197">
        <f t="shared" si="4"/>
        <v>2365200.6247547246</v>
      </c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</row>
    <row r="73" spans="1:20">
      <c r="A73" s="195">
        <f t="shared" si="5"/>
        <v>58</v>
      </c>
      <c r="B73" s="185"/>
      <c r="C73" s="196">
        <f t="shared" si="0"/>
        <v>781522.29091385647</v>
      </c>
      <c r="D73" s="196">
        <f t="shared" si="1"/>
        <v>17739.004685660431</v>
      </c>
      <c r="E73" s="196">
        <f t="shared" si="2"/>
        <v>3015.6307965622732</v>
      </c>
      <c r="F73" s="196">
        <f t="shared" si="3"/>
        <v>802276.92639607925</v>
      </c>
      <c r="G73" s="197">
        <f t="shared" si="4"/>
        <v>1583678.333840868</v>
      </c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</row>
    <row r="74" spans="1:20">
      <c r="A74" s="195">
        <f t="shared" si="5"/>
        <v>59</v>
      </c>
      <c r="B74" s="185"/>
      <c r="C74" s="196">
        <f t="shared" si="0"/>
        <v>788380.14901662571</v>
      </c>
      <c r="D74" s="196">
        <f t="shared" si="1"/>
        <v>11877.58750380651</v>
      </c>
      <c r="E74" s="196">
        <f t="shared" si="2"/>
        <v>2019.1898756471066</v>
      </c>
      <c r="F74" s="200">
        <f t="shared" si="3"/>
        <v>802276.92639607925</v>
      </c>
      <c r="G74" s="197">
        <f t="shared" si="4"/>
        <v>795298.18482424226</v>
      </c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</row>
    <row r="75" spans="1:20">
      <c r="A75" s="201">
        <f t="shared" si="5"/>
        <v>60</v>
      </c>
      <c r="B75" s="202"/>
      <c r="C75" s="203">
        <f t="shared" si="0"/>
        <v>795298.18482424656</v>
      </c>
      <c r="D75" s="203">
        <f t="shared" si="1"/>
        <v>5964.7363861818167</v>
      </c>
      <c r="E75" s="203">
        <f t="shared" si="2"/>
        <v>1014.0051856509089</v>
      </c>
      <c r="F75" s="203">
        <f t="shared" si="3"/>
        <v>802276.92639607925</v>
      </c>
      <c r="G75" s="204">
        <f t="shared" si="4"/>
        <v>-4.3073669075965881E-9</v>
      </c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6" spans="1:20">
      <c r="A76" s="174"/>
      <c r="B76" s="174"/>
      <c r="C76" s="206"/>
      <c r="D76" s="206"/>
      <c r="E76" s="206"/>
      <c r="F76" s="206"/>
      <c r="G76" s="206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</row>
    <row r="77" spans="1:20">
      <c r="A77" s="174"/>
      <c r="B77" s="174"/>
      <c r="C77" s="206"/>
      <c r="D77" s="206"/>
      <c r="E77" s="206"/>
      <c r="F77" s="206"/>
      <c r="G77" s="206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</row>
    <row r="78" spans="1:20">
      <c r="A78" s="174"/>
      <c r="B78" s="174"/>
      <c r="C78" s="187">
        <f t="shared" ref="C78:F78" si="6">SUM(C16:C75)</f>
        <v>37299999.999999993</v>
      </c>
      <c r="D78" s="187">
        <f t="shared" si="6"/>
        <v>9262064.6015083399</v>
      </c>
      <c r="E78" s="187">
        <f t="shared" si="6"/>
        <v>1574550.9822564172</v>
      </c>
      <c r="F78" s="187">
        <f t="shared" si="6"/>
        <v>48136615.583764754</v>
      </c>
      <c r="G78" s="206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</row>
    <row r="79" spans="1:20">
      <c r="A79" s="174"/>
      <c r="B79" s="174"/>
      <c r="C79" s="206"/>
      <c r="D79" s="206"/>
      <c r="E79" s="206"/>
      <c r="F79" s="206"/>
      <c r="G79" s="206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</row>
    <row r="80" spans="1:20">
      <c r="A80" s="174"/>
      <c r="B80" s="174"/>
      <c r="C80" s="206"/>
      <c r="D80" s="206"/>
      <c r="E80" s="206"/>
      <c r="F80" s="206"/>
      <c r="G80" s="206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1:20">
      <c r="A81" s="174"/>
      <c r="B81" s="174"/>
      <c r="C81" s="206"/>
      <c r="D81" s="206"/>
      <c r="E81" s="206"/>
      <c r="F81" s="206"/>
      <c r="G81" s="206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1:20">
      <c r="A82" s="174"/>
      <c r="B82" s="174"/>
      <c r="C82" s="206"/>
      <c r="D82" s="206"/>
      <c r="E82" s="206"/>
      <c r="F82" s="206"/>
      <c r="G82" s="206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1:20">
      <c r="A83" s="174"/>
      <c r="B83" s="174"/>
      <c r="C83" s="206"/>
      <c r="D83" s="206"/>
      <c r="E83" s="206"/>
      <c r="F83" s="206"/>
      <c r="G83" s="206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20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</row>
    <row r="85" spans="1:20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</row>
    <row r="86" spans="1:20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</row>
    <row r="87" spans="1:20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</row>
    <row r="88" spans="1:20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</row>
    <row r="89" spans="1:20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1:20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1:20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</row>
    <row r="92" spans="1:20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</row>
    <row r="93" spans="1:20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</row>
    <row r="94" spans="1:20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</row>
    <row r="95" spans="1:20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</row>
    <row r="96" spans="1:20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</row>
    <row r="97" spans="1:20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</row>
    <row r="98" spans="1:20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</row>
    <row r="99" spans="1:20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</row>
    <row r="100" spans="1:20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1:20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1:20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1:20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</row>
    <row r="104" spans="1:20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</row>
    <row r="105" spans="1:20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</row>
    <row r="106" spans="1:20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</row>
    <row r="107" spans="1:20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</row>
    <row r="108" spans="1:20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</row>
    <row r="109" spans="1:20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</row>
    <row r="110" spans="1:20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</row>
    <row r="111" spans="1:20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</row>
    <row r="112" spans="1:20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</row>
    <row r="113" spans="1:20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</row>
    <row r="114" spans="1:20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</row>
    <row r="115" spans="1:20">
      <c r="A115" s="174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</row>
    <row r="116" spans="1:20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</row>
    <row r="117" spans="1:20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</row>
    <row r="118" spans="1:20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</row>
    <row r="119" spans="1:20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</row>
    <row r="120" spans="1:20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</row>
    <row r="121" spans="1:20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</row>
    <row r="122" spans="1:20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</row>
    <row r="123" spans="1:20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</row>
    <row r="124" spans="1:20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</row>
    <row r="125" spans="1:20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</row>
    <row r="126" spans="1:20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</row>
    <row r="127" spans="1:20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</row>
    <row r="128" spans="1:20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</row>
    <row r="129" spans="1:20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</row>
    <row r="130" spans="1:20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</row>
    <row r="131" spans="1:20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</row>
    <row r="132" spans="1:20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</row>
    <row r="133" spans="1:20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</row>
    <row r="134" spans="1:20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</row>
    <row r="135" spans="1:20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</row>
    <row r="136" spans="1:20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</row>
    <row r="137" spans="1:20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</row>
    <row r="138" spans="1:20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</row>
    <row r="139" spans="1:20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</row>
    <row r="140" spans="1:20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</row>
    <row r="141" spans="1:20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</row>
    <row r="142" spans="1:20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</row>
    <row r="143" spans="1:20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</row>
    <row r="144" spans="1:20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</row>
    <row r="145" spans="1:20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</row>
    <row r="146" spans="1:20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</row>
    <row r="147" spans="1:20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</row>
    <row r="148" spans="1:20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</row>
    <row r="149" spans="1:20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</row>
    <row r="150" spans="1:20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</row>
    <row r="151" spans="1:20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</row>
    <row r="152" spans="1:20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</row>
    <row r="153" spans="1:20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</row>
    <row r="154" spans="1:20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</row>
    <row r="155" spans="1:20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</row>
    <row r="156" spans="1:20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</row>
    <row r="157" spans="1:20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</row>
    <row r="158" spans="1:20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</row>
    <row r="159" spans="1:20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</row>
    <row r="160" spans="1:20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</row>
    <row r="161" spans="1:20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</row>
    <row r="162" spans="1:20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</row>
    <row r="163" spans="1:20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</row>
    <row r="165" spans="1:20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</row>
    <row r="166" spans="1:20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</row>
    <row r="167" spans="1:20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</row>
    <row r="168" spans="1:20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</row>
    <row r="169" spans="1:20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</row>
    <row r="170" spans="1:20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</row>
    <row r="171" spans="1:20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</row>
    <row r="172" spans="1:20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</row>
    <row r="173" spans="1:20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</row>
    <row r="174" spans="1:20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</row>
    <row r="175" spans="1:20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</row>
    <row r="176" spans="1:20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</row>
    <row r="177" spans="1:20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</row>
    <row r="178" spans="1:20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</row>
    <row r="179" spans="1:20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</row>
    <row r="180" spans="1:20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</row>
    <row r="181" spans="1:20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</row>
    <row r="182" spans="1:20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</row>
    <row r="183" spans="1:20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</row>
    <row r="184" spans="1:20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</row>
    <row r="185" spans="1:20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</row>
    <row r="186" spans="1:20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</row>
    <row r="187" spans="1:20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</row>
    <row r="188" spans="1:20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</row>
    <row r="189" spans="1:20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</row>
    <row r="190" spans="1:20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</row>
    <row r="191" spans="1:20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</row>
    <row r="192" spans="1:20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</row>
    <row r="193" spans="1:20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</row>
    <row r="194" spans="1:20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</row>
    <row r="195" spans="1:20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</row>
    <row r="196" spans="1:20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</row>
    <row r="197" spans="1:20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</row>
    <row r="198" spans="1:20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</row>
    <row r="199" spans="1:20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</row>
    <row r="200" spans="1:20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</row>
    <row r="201" spans="1:20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</row>
    <row r="202" spans="1:20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</row>
    <row r="203" spans="1:20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</row>
    <row r="204" spans="1:20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</row>
    <row r="205" spans="1:20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</row>
    <row r="206" spans="1:20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</row>
    <row r="207" spans="1:20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</row>
    <row r="208" spans="1:20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</row>
    <row r="209" spans="1:20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</row>
    <row r="210" spans="1:20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</row>
    <row r="211" spans="1:20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</row>
    <row r="212" spans="1:20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</row>
    <row r="213" spans="1:20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</row>
    <row r="214" spans="1:20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</row>
    <row r="215" spans="1:20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</row>
    <row r="216" spans="1:20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</row>
    <row r="217" spans="1:20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</row>
    <row r="218" spans="1:20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</row>
    <row r="219" spans="1:20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</row>
    <row r="220" spans="1:20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</row>
    <row r="221" spans="1:20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</row>
    <row r="222" spans="1:20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</row>
    <row r="223" spans="1:20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</row>
    <row r="224" spans="1:20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</row>
    <row r="225" spans="1:20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</row>
    <row r="226" spans="1:20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</row>
    <row r="227" spans="1:20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</row>
    <row r="228" spans="1:20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</row>
    <row r="229" spans="1:20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</row>
    <row r="230" spans="1:20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</row>
    <row r="231" spans="1:20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</row>
    <row r="232" spans="1:20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</row>
    <row r="233" spans="1:20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</row>
    <row r="234" spans="1:20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</row>
    <row r="235" spans="1:20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</row>
    <row r="236" spans="1:20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</row>
    <row r="237" spans="1:20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</row>
    <row r="238" spans="1:20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</row>
    <row r="239" spans="1:20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</row>
    <row r="240" spans="1:20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</row>
    <row r="241" spans="1:20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</row>
    <row r="242" spans="1:20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</row>
    <row r="243" spans="1:20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</row>
    <row r="244" spans="1:20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</row>
    <row r="245" spans="1:20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</row>
    <row r="246" spans="1:20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</row>
    <row r="247" spans="1:20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</row>
    <row r="248" spans="1:20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</row>
    <row r="249" spans="1:20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</row>
    <row r="250" spans="1:20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4"/>
    </row>
    <row r="251" spans="1:20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</row>
    <row r="252" spans="1:20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</row>
    <row r="253" spans="1:20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</row>
    <row r="254" spans="1:20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</row>
    <row r="255" spans="1:20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</row>
    <row r="256" spans="1:20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</row>
    <row r="257" spans="1:20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</row>
    <row r="258" spans="1:20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</row>
    <row r="259" spans="1:20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</row>
    <row r="260" spans="1:20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</row>
    <row r="261" spans="1:20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</row>
    <row r="262" spans="1:20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</row>
    <row r="263" spans="1:20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</row>
    <row r="264" spans="1:20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</row>
    <row r="265" spans="1:20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</row>
    <row r="266" spans="1:20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</row>
    <row r="267" spans="1:20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</row>
    <row r="268" spans="1:20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</row>
    <row r="269" spans="1:20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</row>
    <row r="270" spans="1:20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</row>
    <row r="271" spans="1:20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</row>
    <row r="272" spans="1:20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</row>
    <row r="273" spans="1:20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</row>
    <row r="274" spans="1:20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4"/>
    </row>
    <row r="275" spans="1:20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</row>
    <row r="276" spans="1:20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</row>
    <row r="277" spans="1:20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</row>
    <row r="278" spans="1:20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</row>
    <row r="279" spans="1:20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</row>
    <row r="280" spans="1:20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</row>
    <row r="281" spans="1:20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</row>
    <row r="282" spans="1:20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</row>
    <row r="283" spans="1:20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</row>
    <row r="284" spans="1:20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4"/>
    </row>
    <row r="285" spans="1:20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</row>
    <row r="286" spans="1:20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</row>
    <row r="287" spans="1:20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</row>
    <row r="288" spans="1:20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</row>
    <row r="289" spans="1:20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</row>
    <row r="290" spans="1:20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</row>
    <row r="291" spans="1:20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</row>
    <row r="292" spans="1:20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4"/>
    </row>
    <row r="293" spans="1:20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</row>
    <row r="294" spans="1:20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4"/>
    </row>
    <row r="295" spans="1:20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</row>
    <row r="296" spans="1:20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</row>
    <row r="297" spans="1:20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</row>
    <row r="298" spans="1:20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</row>
    <row r="299" spans="1:20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</row>
    <row r="300" spans="1:20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</row>
    <row r="301" spans="1:20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</row>
    <row r="302" spans="1:20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</row>
    <row r="303" spans="1:20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</row>
    <row r="304" spans="1:20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</row>
    <row r="305" spans="1:20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</row>
    <row r="306" spans="1:20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</row>
    <row r="307" spans="1:20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</row>
    <row r="308" spans="1:20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</row>
    <row r="309" spans="1:20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</row>
    <row r="310" spans="1:20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</row>
    <row r="311" spans="1:20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</row>
    <row r="312" spans="1:20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</row>
    <row r="313" spans="1:20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</row>
    <row r="314" spans="1:20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4"/>
    </row>
    <row r="315" spans="1:20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</row>
    <row r="316" spans="1:20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4"/>
    </row>
    <row r="317" spans="1:20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</row>
    <row r="318" spans="1:20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</row>
    <row r="319" spans="1:20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</row>
    <row r="320" spans="1:20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</row>
    <row r="321" spans="1:20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</row>
    <row r="322" spans="1:20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</row>
    <row r="323" spans="1:20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</row>
    <row r="324" spans="1:20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</row>
    <row r="325" spans="1:20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</row>
    <row r="326" spans="1:20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4"/>
    </row>
    <row r="327" spans="1:20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</row>
    <row r="328" spans="1:20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</row>
    <row r="329" spans="1:20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</row>
    <row r="330" spans="1:20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</row>
    <row r="331" spans="1:20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</row>
    <row r="332" spans="1:20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</row>
    <row r="333" spans="1:20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</row>
    <row r="334" spans="1:20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</row>
    <row r="335" spans="1:20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</row>
    <row r="336" spans="1:20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</row>
    <row r="337" spans="1:20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</row>
    <row r="338" spans="1:20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</row>
    <row r="339" spans="1:20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</row>
    <row r="340" spans="1:20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4"/>
    </row>
    <row r="341" spans="1:20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4"/>
    </row>
    <row r="342" spans="1:20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</row>
    <row r="343" spans="1:20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</row>
    <row r="344" spans="1:20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4"/>
    </row>
    <row r="345" spans="1:20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</row>
    <row r="346" spans="1:20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</row>
    <row r="347" spans="1:20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4"/>
    </row>
    <row r="348" spans="1:20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</row>
    <row r="349" spans="1:20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</row>
    <row r="350" spans="1:20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</row>
    <row r="351" spans="1:20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</row>
    <row r="352" spans="1:20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</row>
    <row r="353" spans="1:20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</row>
    <row r="354" spans="1:20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</row>
    <row r="355" spans="1:20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</row>
    <row r="356" spans="1:20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</row>
    <row r="357" spans="1:20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</row>
    <row r="358" spans="1:20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4"/>
    </row>
    <row r="359" spans="1:20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4"/>
    </row>
    <row r="360" spans="1:20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</row>
    <row r="361" spans="1:20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</row>
    <row r="362" spans="1:20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</row>
    <row r="363" spans="1:20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</row>
    <row r="364" spans="1:20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</row>
    <row r="365" spans="1:20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</row>
    <row r="366" spans="1:20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</row>
    <row r="367" spans="1:20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</row>
    <row r="368" spans="1:20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</row>
    <row r="369" spans="1:20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</row>
    <row r="370" spans="1:20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</row>
    <row r="371" spans="1:20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</row>
    <row r="372" spans="1:20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</row>
    <row r="373" spans="1:20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</row>
    <row r="374" spans="1:20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</row>
    <row r="375" spans="1:20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</row>
    <row r="376" spans="1:20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4"/>
    </row>
    <row r="377" spans="1:20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4"/>
    </row>
    <row r="378" spans="1:20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4"/>
    </row>
    <row r="379" spans="1:20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</row>
    <row r="380" spans="1:20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4"/>
    </row>
    <row r="381" spans="1:20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</row>
    <row r="382" spans="1:20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4"/>
    </row>
    <row r="383" spans="1:20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</row>
    <row r="384" spans="1:20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</row>
    <row r="385" spans="1:20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</row>
    <row r="386" spans="1:20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</row>
    <row r="387" spans="1:20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</row>
    <row r="388" spans="1:20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</row>
    <row r="389" spans="1:20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4"/>
    </row>
    <row r="390" spans="1:20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</row>
    <row r="391" spans="1:20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4"/>
    </row>
    <row r="392" spans="1:20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</row>
    <row r="393" spans="1:20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</row>
    <row r="394" spans="1:20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4"/>
    </row>
    <row r="395" spans="1:20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</row>
    <row r="396" spans="1:20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</row>
    <row r="397" spans="1:20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</row>
    <row r="398" spans="1:20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</row>
    <row r="399" spans="1:20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</row>
    <row r="400" spans="1:20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</row>
    <row r="401" spans="1:20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</row>
    <row r="402" spans="1:20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</row>
    <row r="403" spans="1:20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</row>
    <row r="404" spans="1:20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</row>
    <row r="405" spans="1:20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4"/>
    </row>
    <row r="406" spans="1:20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</row>
    <row r="407" spans="1:20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4"/>
    </row>
    <row r="408" spans="1:20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4"/>
    </row>
    <row r="409" spans="1:20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4"/>
    </row>
    <row r="410" spans="1:20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</row>
    <row r="411" spans="1:20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</row>
    <row r="412" spans="1:20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</row>
    <row r="413" spans="1:20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</row>
    <row r="414" spans="1:20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</row>
    <row r="415" spans="1:20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</row>
    <row r="416" spans="1:20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</row>
    <row r="417" spans="1:20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</row>
    <row r="418" spans="1:20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</row>
    <row r="419" spans="1:20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</row>
    <row r="420" spans="1:20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</row>
    <row r="421" spans="1:20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</row>
    <row r="422" spans="1:20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</row>
    <row r="423" spans="1:20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</row>
    <row r="424" spans="1:20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</row>
    <row r="425" spans="1:20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</row>
    <row r="426" spans="1:20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</row>
    <row r="427" spans="1:20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</row>
    <row r="428" spans="1:20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</row>
    <row r="429" spans="1:20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</row>
    <row r="430" spans="1:20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4"/>
    </row>
    <row r="431" spans="1:20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</row>
    <row r="432" spans="1:20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</row>
    <row r="433" spans="1:20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</row>
    <row r="434" spans="1:20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</row>
    <row r="435" spans="1:20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</row>
    <row r="436" spans="1:20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</row>
    <row r="437" spans="1:20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</row>
    <row r="438" spans="1:20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</row>
    <row r="439" spans="1:20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</row>
    <row r="440" spans="1:20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</row>
    <row r="441" spans="1:20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</row>
    <row r="442" spans="1:20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</row>
    <row r="443" spans="1:20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</row>
    <row r="444" spans="1:20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4"/>
    </row>
    <row r="445" spans="1:20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</row>
    <row r="446" spans="1:20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</row>
    <row r="447" spans="1:20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</row>
    <row r="448" spans="1:20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</row>
    <row r="449" spans="1:20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</row>
    <row r="450" spans="1:20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</row>
    <row r="451" spans="1:20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</row>
    <row r="452" spans="1:20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</row>
    <row r="453" spans="1:20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</row>
    <row r="454" spans="1:20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</row>
    <row r="455" spans="1:20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</row>
    <row r="456" spans="1:20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</row>
    <row r="457" spans="1:20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</row>
    <row r="458" spans="1:20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</row>
    <row r="459" spans="1:20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</row>
    <row r="460" spans="1:20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</row>
    <row r="461" spans="1:20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</row>
    <row r="462" spans="1:20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</row>
    <row r="463" spans="1:20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</row>
    <row r="464" spans="1:20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</row>
    <row r="465" spans="1:20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</row>
    <row r="466" spans="1:20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</row>
    <row r="467" spans="1:20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</row>
    <row r="468" spans="1:20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</row>
    <row r="469" spans="1:20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</row>
    <row r="470" spans="1:20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</row>
    <row r="471" spans="1:20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</row>
    <row r="472" spans="1:20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</row>
    <row r="473" spans="1:20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</row>
    <row r="474" spans="1:20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</row>
    <row r="475" spans="1:20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</row>
    <row r="476" spans="1:20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</row>
    <row r="477" spans="1:20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</row>
    <row r="478" spans="1:20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</row>
    <row r="479" spans="1:20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</row>
    <row r="480" spans="1:20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</row>
    <row r="481" spans="1:20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</row>
    <row r="482" spans="1:20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</row>
    <row r="483" spans="1:20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</row>
    <row r="484" spans="1:20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</row>
    <row r="485" spans="1:20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</row>
    <row r="486" spans="1:20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</row>
    <row r="487" spans="1:20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</row>
    <row r="488" spans="1:20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</row>
    <row r="489" spans="1:20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</row>
    <row r="490" spans="1:20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</row>
    <row r="491" spans="1:20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</row>
    <row r="492" spans="1:20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</row>
    <row r="493" spans="1:20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</row>
    <row r="494" spans="1:20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</row>
    <row r="495" spans="1:20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</row>
    <row r="496" spans="1:20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</row>
    <row r="497" spans="1:20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</row>
    <row r="498" spans="1:20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</row>
    <row r="499" spans="1:20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</row>
    <row r="500" spans="1:20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</row>
    <row r="501" spans="1:20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</row>
    <row r="502" spans="1:20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</row>
    <row r="503" spans="1:20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</row>
    <row r="504" spans="1:20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</row>
    <row r="505" spans="1:20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</row>
    <row r="506" spans="1:20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</row>
    <row r="507" spans="1:20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</row>
    <row r="508" spans="1:20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</row>
    <row r="509" spans="1:20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</row>
    <row r="510" spans="1:20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</row>
    <row r="511" spans="1:20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</row>
    <row r="512" spans="1:20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</row>
    <row r="513" spans="1:20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</row>
    <row r="514" spans="1:20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</row>
    <row r="515" spans="1:20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</row>
    <row r="516" spans="1:20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</row>
    <row r="517" spans="1:20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</row>
    <row r="518" spans="1:20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</row>
    <row r="519" spans="1:20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</row>
    <row r="520" spans="1:20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</row>
    <row r="521" spans="1:20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</row>
    <row r="522" spans="1:20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</row>
    <row r="523" spans="1:20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</row>
    <row r="524" spans="1:20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</row>
    <row r="525" spans="1:20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</row>
    <row r="526" spans="1:20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</row>
    <row r="527" spans="1:20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</row>
    <row r="528" spans="1:20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</row>
    <row r="529" spans="1:20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</row>
    <row r="530" spans="1:20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</row>
    <row r="531" spans="1:20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</row>
    <row r="532" spans="1:20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</row>
    <row r="533" spans="1:20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</row>
    <row r="534" spans="1:20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</row>
    <row r="535" spans="1:20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</row>
    <row r="536" spans="1:20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</row>
    <row r="537" spans="1:20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</row>
    <row r="538" spans="1:20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</row>
    <row r="539" spans="1:20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</row>
    <row r="540" spans="1:20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</row>
    <row r="541" spans="1:20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</row>
    <row r="542" spans="1:20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</row>
    <row r="543" spans="1:20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</row>
    <row r="544" spans="1:20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</row>
    <row r="545" spans="1:20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</row>
    <row r="546" spans="1:20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</row>
    <row r="547" spans="1:20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</row>
    <row r="548" spans="1:20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</row>
    <row r="549" spans="1:20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</row>
    <row r="550" spans="1:20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</row>
    <row r="551" spans="1:20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</row>
    <row r="552" spans="1:20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</row>
    <row r="553" spans="1:20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</row>
    <row r="554" spans="1:20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</row>
    <row r="555" spans="1:20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</row>
    <row r="556" spans="1:20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</row>
    <row r="557" spans="1:20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</row>
    <row r="558" spans="1:20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</row>
    <row r="559" spans="1:20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</row>
    <row r="560" spans="1:20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</row>
    <row r="561" spans="1:20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</row>
    <row r="562" spans="1:20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</row>
    <row r="563" spans="1:20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</row>
    <row r="564" spans="1:20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</row>
    <row r="565" spans="1:20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</row>
    <row r="566" spans="1:20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</row>
    <row r="567" spans="1:20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</row>
    <row r="568" spans="1:20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4"/>
    </row>
    <row r="569" spans="1:20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</row>
    <row r="570" spans="1:20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4"/>
    </row>
    <row r="571" spans="1:20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</row>
    <row r="572" spans="1:20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4"/>
    </row>
    <row r="573" spans="1:20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</row>
    <row r="574" spans="1:20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4"/>
    </row>
    <row r="575" spans="1:20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</row>
    <row r="576" spans="1:20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</row>
    <row r="577" spans="1:20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</row>
    <row r="578" spans="1:20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</row>
    <row r="579" spans="1:20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</row>
    <row r="580" spans="1:20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</row>
    <row r="581" spans="1:20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</row>
    <row r="582" spans="1:20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4"/>
    </row>
    <row r="583" spans="1:20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</row>
    <row r="584" spans="1:20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4"/>
    </row>
    <row r="585" spans="1:20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</row>
    <row r="586" spans="1:20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4"/>
    </row>
    <row r="587" spans="1:20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</row>
    <row r="588" spans="1:20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4"/>
    </row>
    <row r="589" spans="1:20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</row>
    <row r="590" spans="1:20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</row>
    <row r="591" spans="1:20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</row>
    <row r="592" spans="1:20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</row>
    <row r="593" spans="1:20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</row>
    <row r="594" spans="1:20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4"/>
    </row>
    <row r="595" spans="1:20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</row>
    <row r="596" spans="1:20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4"/>
    </row>
    <row r="597" spans="1:20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</row>
    <row r="598" spans="1:20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4"/>
    </row>
    <row r="599" spans="1:20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</row>
    <row r="600" spans="1:20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4"/>
    </row>
    <row r="601" spans="1:20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</row>
    <row r="602" spans="1:20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</row>
    <row r="603" spans="1:20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</row>
    <row r="604" spans="1:20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</row>
    <row r="605" spans="1:20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</row>
    <row r="606" spans="1:20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</row>
    <row r="607" spans="1:20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</row>
    <row r="608" spans="1:20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</row>
    <row r="609" spans="1:20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</row>
    <row r="610" spans="1:20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</row>
    <row r="611" spans="1:20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</row>
    <row r="612" spans="1:20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</row>
    <row r="613" spans="1:20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</row>
    <row r="614" spans="1:20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</row>
    <row r="615" spans="1:20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</row>
    <row r="616" spans="1:20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</row>
    <row r="617" spans="1:20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</row>
    <row r="618" spans="1:20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</row>
    <row r="619" spans="1:20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</row>
    <row r="620" spans="1:20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</row>
    <row r="621" spans="1:20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</row>
    <row r="622" spans="1:20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</row>
    <row r="623" spans="1:20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</row>
    <row r="624" spans="1:20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</row>
    <row r="625" spans="1:20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</row>
    <row r="626" spans="1:20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</row>
    <row r="627" spans="1:20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</row>
    <row r="628" spans="1:20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</row>
    <row r="629" spans="1:20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</row>
    <row r="630" spans="1:20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</row>
    <row r="631" spans="1:20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</row>
    <row r="632" spans="1:20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</row>
    <row r="633" spans="1:20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</row>
    <row r="634" spans="1:20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</row>
    <row r="635" spans="1:20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</row>
    <row r="636" spans="1:20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</row>
    <row r="637" spans="1:20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</row>
    <row r="638" spans="1:20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</row>
    <row r="639" spans="1:20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</row>
    <row r="640" spans="1:20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</row>
    <row r="641" spans="1:20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</row>
    <row r="642" spans="1:20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</row>
    <row r="643" spans="1:20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</row>
    <row r="644" spans="1:20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</row>
    <row r="645" spans="1:20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</row>
    <row r="646" spans="1:20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4"/>
    </row>
    <row r="647" spans="1:20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</row>
    <row r="648" spans="1:20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4"/>
    </row>
    <row r="649" spans="1:20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</row>
    <row r="650" spans="1:20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</row>
    <row r="651" spans="1:20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</row>
    <row r="652" spans="1:20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</row>
    <row r="653" spans="1:20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</row>
    <row r="654" spans="1:20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</row>
    <row r="655" spans="1:20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</row>
    <row r="656" spans="1:20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</row>
    <row r="657" spans="1:20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</row>
    <row r="658" spans="1:20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</row>
    <row r="659" spans="1:20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</row>
    <row r="660" spans="1:20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4"/>
    </row>
    <row r="661" spans="1:20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</row>
    <row r="662" spans="1:20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4"/>
    </row>
    <row r="663" spans="1:20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</row>
    <row r="664" spans="1:20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</row>
    <row r="665" spans="1:20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</row>
    <row r="666" spans="1:20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</row>
    <row r="667" spans="1:20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</row>
    <row r="668" spans="1:20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</row>
    <row r="669" spans="1:20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</row>
    <row r="670" spans="1:20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4"/>
    </row>
    <row r="671" spans="1:20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</row>
    <row r="672" spans="1:20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4"/>
    </row>
    <row r="673" spans="1:20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</row>
    <row r="674" spans="1:20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</row>
    <row r="675" spans="1:20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</row>
    <row r="676" spans="1:20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</row>
    <row r="677" spans="1:20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</row>
    <row r="678" spans="1:20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</row>
    <row r="679" spans="1:20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</row>
    <row r="680" spans="1:20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</row>
    <row r="681" spans="1:20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</row>
    <row r="682" spans="1:20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4"/>
    </row>
    <row r="683" spans="1:20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</row>
    <row r="684" spans="1:20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</row>
    <row r="685" spans="1:20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</row>
    <row r="686" spans="1:20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4"/>
    </row>
    <row r="687" spans="1:20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</row>
    <row r="688" spans="1:20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4"/>
    </row>
    <row r="689" spans="1:20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</row>
    <row r="690" spans="1:20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4"/>
    </row>
    <row r="691" spans="1:20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</row>
    <row r="692" spans="1:20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</row>
    <row r="693" spans="1:20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</row>
    <row r="694" spans="1:20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4"/>
    </row>
    <row r="695" spans="1:20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</row>
    <row r="696" spans="1:20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</row>
    <row r="697" spans="1:20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</row>
    <row r="698" spans="1:20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4"/>
    </row>
    <row r="699" spans="1:20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</row>
    <row r="700" spans="1:20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</row>
    <row r="701" spans="1:20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</row>
    <row r="702" spans="1:20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</row>
    <row r="703" spans="1:20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</row>
    <row r="704" spans="1:20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4"/>
    </row>
    <row r="705" spans="1:20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</row>
    <row r="706" spans="1:20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</row>
    <row r="707" spans="1:20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</row>
    <row r="708" spans="1:20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4"/>
    </row>
    <row r="709" spans="1:20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</row>
    <row r="710" spans="1:20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4"/>
    </row>
    <row r="711" spans="1:20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</row>
    <row r="712" spans="1:20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4"/>
    </row>
    <row r="713" spans="1:20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</row>
    <row r="714" spans="1:20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4"/>
    </row>
    <row r="715" spans="1:20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</row>
    <row r="716" spans="1:20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4"/>
    </row>
    <row r="717" spans="1:20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</row>
    <row r="718" spans="1:20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4"/>
    </row>
    <row r="719" spans="1:20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</row>
    <row r="720" spans="1:20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</row>
    <row r="721" spans="1:20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</row>
    <row r="722" spans="1:20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4"/>
    </row>
    <row r="723" spans="1:20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</row>
    <row r="724" spans="1:20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4"/>
    </row>
    <row r="725" spans="1:20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</row>
    <row r="726" spans="1:20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4"/>
    </row>
    <row r="727" spans="1:20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</row>
    <row r="728" spans="1:20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4"/>
    </row>
    <row r="729" spans="1:20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</row>
    <row r="730" spans="1:20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4"/>
    </row>
    <row r="731" spans="1:20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</row>
    <row r="732" spans="1:20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4"/>
    </row>
    <row r="733" spans="1:20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</row>
    <row r="734" spans="1:20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4"/>
    </row>
    <row r="735" spans="1:20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</row>
    <row r="736" spans="1:20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4"/>
    </row>
    <row r="737" spans="1:20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</row>
    <row r="738" spans="1:20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4"/>
    </row>
    <row r="739" spans="1:20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</row>
    <row r="740" spans="1:20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4"/>
    </row>
    <row r="741" spans="1:20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</row>
    <row r="742" spans="1:20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4"/>
    </row>
    <row r="743" spans="1:20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</row>
    <row r="744" spans="1:20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</row>
    <row r="745" spans="1:20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</row>
    <row r="746" spans="1:20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4"/>
    </row>
    <row r="747" spans="1:20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</row>
    <row r="748" spans="1:20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</row>
    <row r="749" spans="1:20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</row>
    <row r="750" spans="1:20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4"/>
    </row>
    <row r="751" spans="1:20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</row>
    <row r="752" spans="1:20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4"/>
    </row>
    <row r="753" spans="1:20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</row>
    <row r="754" spans="1:20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4"/>
    </row>
    <row r="755" spans="1:20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</row>
    <row r="756" spans="1:20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4"/>
    </row>
    <row r="757" spans="1:20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</row>
    <row r="758" spans="1:20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</row>
    <row r="759" spans="1:20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</row>
    <row r="760" spans="1:20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4"/>
    </row>
    <row r="761" spans="1:20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</row>
    <row r="762" spans="1:20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</row>
    <row r="763" spans="1:20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</row>
    <row r="764" spans="1:20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</row>
    <row r="765" spans="1:20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</row>
    <row r="766" spans="1:20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</row>
    <row r="767" spans="1:20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</row>
    <row r="768" spans="1:20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</row>
    <row r="769" spans="1:20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</row>
    <row r="770" spans="1:20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</row>
    <row r="771" spans="1:20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</row>
    <row r="772" spans="1:20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</row>
    <row r="773" spans="1:20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</row>
    <row r="774" spans="1:20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4"/>
    </row>
    <row r="775" spans="1:20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</row>
    <row r="776" spans="1:20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</row>
    <row r="777" spans="1:20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</row>
    <row r="778" spans="1:20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4"/>
    </row>
    <row r="779" spans="1:20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</row>
    <row r="780" spans="1:20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4"/>
    </row>
    <row r="781" spans="1:20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</row>
    <row r="782" spans="1:20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4"/>
    </row>
    <row r="783" spans="1:20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</row>
    <row r="784" spans="1:20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4"/>
    </row>
    <row r="785" spans="1:20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</row>
    <row r="786" spans="1:20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4"/>
    </row>
    <row r="787" spans="1:20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</row>
    <row r="788" spans="1:20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4"/>
    </row>
    <row r="789" spans="1:20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</row>
    <row r="790" spans="1:20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4"/>
    </row>
    <row r="791" spans="1:20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</row>
    <row r="792" spans="1:20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4"/>
    </row>
    <row r="793" spans="1:20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</row>
    <row r="794" spans="1:20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4"/>
    </row>
    <row r="795" spans="1:20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</row>
    <row r="796" spans="1:20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</row>
    <row r="797" spans="1:20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</row>
    <row r="798" spans="1:20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4"/>
    </row>
    <row r="799" spans="1:20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</row>
    <row r="800" spans="1:20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4"/>
    </row>
    <row r="801" spans="1:20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</row>
    <row r="802" spans="1:20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4"/>
    </row>
    <row r="803" spans="1:20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</row>
    <row r="804" spans="1:20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</row>
    <row r="805" spans="1:20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</row>
    <row r="806" spans="1:20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</row>
    <row r="807" spans="1:20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</row>
    <row r="808" spans="1:20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</row>
    <row r="809" spans="1:20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</row>
    <row r="810" spans="1:20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</row>
    <row r="811" spans="1:20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</row>
    <row r="812" spans="1:20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4"/>
    </row>
    <row r="813" spans="1:20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</row>
    <row r="814" spans="1:20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4"/>
    </row>
    <row r="815" spans="1:20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</row>
    <row r="816" spans="1:20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4"/>
    </row>
    <row r="817" spans="1:20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</row>
    <row r="818" spans="1:20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</row>
    <row r="819" spans="1:20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</row>
    <row r="820" spans="1:20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</row>
    <row r="821" spans="1:20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</row>
    <row r="822" spans="1:20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</row>
    <row r="823" spans="1:20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</row>
    <row r="824" spans="1:20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</row>
    <row r="825" spans="1:20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</row>
    <row r="826" spans="1:20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</row>
    <row r="827" spans="1:20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</row>
    <row r="828" spans="1:20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</row>
    <row r="829" spans="1:20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</row>
    <row r="830" spans="1:20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</row>
    <row r="831" spans="1:20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</row>
    <row r="832" spans="1:20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</row>
    <row r="833" spans="1:20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</row>
    <row r="834" spans="1:20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4"/>
    </row>
    <row r="835" spans="1:20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</row>
    <row r="836" spans="1:20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4"/>
    </row>
    <row r="837" spans="1:20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</row>
    <row r="838" spans="1:20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4"/>
    </row>
    <row r="839" spans="1:20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</row>
    <row r="840" spans="1:20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4"/>
    </row>
    <row r="841" spans="1:20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</row>
    <row r="842" spans="1:20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4"/>
    </row>
    <row r="843" spans="1:20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</row>
    <row r="844" spans="1:20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4"/>
    </row>
    <row r="845" spans="1:20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</row>
    <row r="846" spans="1:20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4"/>
    </row>
    <row r="847" spans="1:20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</row>
    <row r="848" spans="1:20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4"/>
    </row>
    <row r="849" spans="1:20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</row>
    <row r="850" spans="1:20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4"/>
    </row>
    <row r="851" spans="1:20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</row>
    <row r="852" spans="1:20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4"/>
    </row>
    <row r="853" spans="1:20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</row>
    <row r="854" spans="1:20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4"/>
    </row>
    <row r="855" spans="1:20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</row>
    <row r="856" spans="1:20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4"/>
    </row>
    <row r="857" spans="1:20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</row>
    <row r="858" spans="1:20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4"/>
    </row>
    <row r="859" spans="1:20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</row>
    <row r="860" spans="1:20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</row>
    <row r="861" spans="1:20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</row>
    <row r="862" spans="1:20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4"/>
    </row>
    <row r="863" spans="1:20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</row>
    <row r="864" spans="1:20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4"/>
    </row>
    <row r="865" spans="1:20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</row>
    <row r="866" spans="1:20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4"/>
    </row>
    <row r="867" spans="1:20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</row>
    <row r="868" spans="1:20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4"/>
    </row>
    <row r="869" spans="1:20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</row>
    <row r="870" spans="1:20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4"/>
    </row>
    <row r="871" spans="1:20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</row>
    <row r="872" spans="1:20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4"/>
    </row>
    <row r="873" spans="1:20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</row>
    <row r="874" spans="1:20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</row>
    <row r="875" spans="1:20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</row>
    <row r="876" spans="1:20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</row>
    <row r="877" spans="1:20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</row>
    <row r="878" spans="1:20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4"/>
    </row>
    <row r="879" spans="1:20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</row>
    <row r="880" spans="1:20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4"/>
    </row>
    <row r="881" spans="1:20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</row>
    <row r="882" spans="1:20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4"/>
    </row>
    <row r="883" spans="1:20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</row>
    <row r="884" spans="1:20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4"/>
    </row>
    <row r="885" spans="1:20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</row>
    <row r="886" spans="1:20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</row>
    <row r="887" spans="1:20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</row>
    <row r="888" spans="1:20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</row>
    <row r="889" spans="1:20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</row>
    <row r="890" spans="1:20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</row>
    <row r="891" spans="1:20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</row>
    <row r="892" spans="1:20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</row>
    <row r="893" spans="1:20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</row>
    <row r="894" spans="1:20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4"/>
    </row>
    <row r="895" spans="1:20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</row>
    <row r="896" spans="1:20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4"/>
    </row>
    <row r="897" spans="1:20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</row>
    <row r="898" spans="1:20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4"/>
    </row>
    <row r="899" spans="1:20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</row>
    <row r="900" spans="1:20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4"/>
    </row>
    <row r="901" spans="1:20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</row>
    <row r="902" spans="1:20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4"/>
    </row>
    <row r="903" spans="1:20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</row>
    <row r="904" spans="1:20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4"/>
    </row>
    <row r="905" spans="1:20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</row>
    <row r="906" spans="1:20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4"/>
    </row>
    <row r="907" spans="1:20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</row>
    <row r="908" spans="1:20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4"/>
    </row>
    <row r="909" spans="1:20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</row>
    <row r="910" spans="1:20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4"/>
    </row>
    <row r="911" spans="1:20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</row>
    <row r="912" spans="1:20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4"/>
    </row>
    <row r="913" spans="1:20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</row>
    <row r="914" spans="1:20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4"/>
    </row>
    <row r="915" spans="1:20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</row>
    <row r="916" spans="1:20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</row>
    <row r="917" spans="1:20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</row>
    <row r="918" spans="1:20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4"/>
    </row>
    <row r="919" spans="1:20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4"/>
    </row>
    <row r="920" spans="1:20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4"/>
    </row>
    <row r="921" spans="1:20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4"/>
    </row>
    <row r="922" spans="1:20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4"/>
    </row>
    <row r="923" spans="1:20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4"/>
    </row>
    <row r="924" spans="1:20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4"/>
    </row>
    <row r="925" spans="1:20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4"/>
    </row>
    <row r="926" spans="1:20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4"/>
    </row>
    <row r="927" spans="1:20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4"/>
    </row>
    <row r="928" spans="1:20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4"/>
    </row>
    <row r="929" spans="1:20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4"/>
    </row>
    <row r="930" spans="1:20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4"/>
    </row>
    <row r="931" spans="1:20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4"/>
    </row>
    <row r="932" spans="1:20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4"/>
    </row>
    <row r="933" spans="1:20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4"/>
    </row>
    <row r="934" spans="1:20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4"/>
    </row>
    <row r="935" spans="1:20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4"/>
    </row>
    <row r="936" spans="1:20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4"/>
    </row>
    <row r="937" spans="1:20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4"/>
    </row>
    <row r="938" spans="1:20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4"/>
    </row>
    <row r="939" spans="1:20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4"/>
    </row>
    <row r="940" spans="1:20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4"/>
    </row>
    <row r="941" spans="1:20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4"/>
    </row>
    <row r="942" spans="1:20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</row>
    <row r="943" spans="1:20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4"/>
    </row>
    <row r="944" spans="1:20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</row>
    <row r="945" spans="1:20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4"/>
    </row>
    <row r="946" spans="1:20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4"/>
    </row>
    <row r="947" spans="1:20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4"/>
    </row>
    <row r="948" spans="1:20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4"/>
    </row>
    <row r="949" spans="1:20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4"/>
    </row>
    <row r="950" spans="1:20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4"/>
    </row>
    <row r="951" spans="1:20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4"/>
    </row>
    <row r="952" spans="1:20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4"/>
    </row>
    <row r="953" spans="1:20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4"/>
    </row>
    <row r="954" spans="1:20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4"/>
    </row>
    <row r="955" spans="1:20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4"/>
    </row>
    <row r="956" spans="1:20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4"/>
    </row>
    <row r="957" spans="1:20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4"/>
    </row>
    <row r="958" spans="1:20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4"/>
    </row>
    <row r="959" spans="1:20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4"/>
    </row>
    <row r="960" spans="1:20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4"/>
    </row>
    <row r="961" spans="1:20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4"/>
    </row>
    <row r="962" spans="1:20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4"/>
    </row>
    <row r="963" spans="1:20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</row>
    <row r="964" spans="1:20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4"/>
    </row>
    <row r="965" spans="1:20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4"/>
    </row>
    <row r="966" spans="1:20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4"/>
    </row>
    <row r="967" spans="1:20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4"/>
    </row>
    <row r="968" spans="1:20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4"/>
    </row>
    <row r="969" spans="1:20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4"/>
    </row>
    <row r="970" spans="1:20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4"/>
    </row>
    <row r="971" spans="1:20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4"/>
    </row>
    <row r="972" spans="1:20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4"/>
    </row>
    <row r="973" spans="1:20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4"/>
    </row>
    <row r="974" spans="1:20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4"/>
    </row>
    <row r="975" spans="1:20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4"/>
    </row>
    <row r="976" spans="1:20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4"/>
    </row>
    <row r="977" spans="1:20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4"/>
    </row>
    <row r="978" spans="1:20">
      <c r="A978" s="174"/>
      <c r="B978" s="174"/>
      <c r="C978" s="174"/>
      <c r="D978" s="174"/>
      <c r="E978" s="174"/>
      <c r="F978" s="174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4"/>
    </row>
    <row r="979" spans="1:20">
      <c r="A979" s="174"/>
      <c r="B979" s="174"/>
      <c r="C979" s="174"/>
      <c r="D979" s="174"/>
      <c r="E979" s="174"/>
      <c r="F979" s="174"/>
      <c r="G979" s="174"/>
      <c r="H979" s="174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174"/>
      <c r="T979" s="174"/>
    </row>
    <row r="980" spans="1:20">
      <c r="A980" s="17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4"/>
    </row>
    <row r="981" spans="1:20">
      <c r="A981" s="174"/>
      <c r="B981" s="174"/>
      <c r="C981" s="174"/>
      <c r="D981" s="174"/>
      <c r="E981" s="174"/>
      <c r="F981" s="174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174"/>
      <c r="T981" s="174"/>
    </row>
    <row r="982" spans="1:20">
      <c r="A982" s="174"/>
      <c r="B982" s="174"/>
      <c r="C982" s="174"/>
      <c r="D982" s="174"/>
      <c r="E982" s="174"/>
      <c r="F982" s="174"/>
      <c r="G982" s="174"/>
      <c r="H982" s="174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174"/>
      <c r="T982" s="174"/>
    </row>
    <row r="983" spans="1:20">
      <c r="A983" s="174"/>
      <c r="B983" s="174"/>
      <c r="C983" s="174"/>
      <c r="D983" s="174"/>
      <c r="E983" s="174"/>
      <c r="F983" s="174"/>
      <c r="G983" s="174"/>
      <c r="H983" s="174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174"/>
      <c r="T983" s="174"/>
    </row>
    <row r="984" spans="1:20">
      <c r="A984" s="174"/>
      <c r="B984" s="174"/>
      <c r="C984" s="174"/>
      <c r="D984" s="174"/>
      <c r="E984" s="174"/>
      <c r="F984" s="174"/>
      <c r="G984" s="174"/>
      <c r="H984" s="174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174"/>
      <c r="T984" s="174"/>
    </row>
    <row r="985" spans="1:20">
      <c r="A985" s="174"/>
      <c r="B985" s="174"/>
      <c r="C985" s="174"/>
      <c r="D985" s="174"/>
      <c r="E985" s="174"/>
      <c r="F985" s="174"/>
      <c r="G985" s="174"/>
      <c r="H985" s="174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174"/>
      <c r="T985" s="174"/>
    </row>
    <row r="986" spans="1:20">
      <c r="A986" s="174"/>
      <c r="B986" s="174"/>
      <c r="C986" s="174"/>
      <c r="D986" s="174"/>
      <c r="E986" s="174"/>
      <c r="F986" s="174"/>
      <c r="G986" s="174"/>
      <c r="H986" s="174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174"/>
      <c r="T986" s="174"/>
    </row>
    <row r="987" spans="1:20">
      <c r="A987" s="174"/>
      <c r="B987" s="174"/>
      <c r="C987" s="174"/>
      <c r="D987" s="174"/>
      <c r="E987" s="174"/>
      <c r="F987" s="174"/>
      <c r="G987" s="174"/>
      <c r="H987" s="174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174"/>
      <c r="T987" s="174"/>
    </row>
    <row r="988" spans="1:20">
      <c r="A988" s="174"/>
      <c r="B988" s="174"/>
      <c r="C988" s="174"/>
      <c r="D988" s="174"/>
      <c r="E988" s="174"/>
      <c r="F988" s="174"/>
      <c r="G988" s="174"/>
      <c r="H988" s="174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174"/>
      <c r="T988" s="174"/>
    </row>
    <row r="989" spans="1:20">
      <c r="A989" s="174"/>
      <c r="B989" s="174"/>
      <c r="C989" s="174"/>
      <c r="D989" s="174"/>
      <c r="E989" s="174"/>
      <c r="F989" s="174"/>
      <c r="G989" s="174"/>
      <c r="H989" s="174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174"/>
      <c r="T989" s="174"/>
    </row>
    <row r="990" spans="1:20">
      <c r="A990" s="174"/>
      <c r="B990" s="174"/>
      <c r="C990" s="174"/>
      <c r="D990" s="174"/>
      <c r="E990" s="174"/>
      <c r="F990" s="174"/>
      <c r="G990" s="174"/>
      <c r="H990" s="174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174"/>
      <c r="T990" s="174"/>
    </row>
    <row r="991" spans="1:20">
      <c r="A991" s="174"/>
      <c r="B991" s="174"/>
      <c r="C991" s="174"/>
      <c r="D991" s="174"/>
      <c r="E991" s="174"/>
      <c r="F991" s="174"/>
      <c r="G991" s="174"/>
      <c r="H991" s="174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174"/>
      <c r="T991" s="174"/>
    </row>
    <row r="992" spans="1:20">
      <c r="A992" s="174"/>
      <c r="B992" s="174"/>
      <c r="C992" s="174"/>
      <c r="D992" s="174"/>
      <c r="E992" s="174"/>
      <c r="F992" s="174"/>
      <c r="G992" s="174"/>
      <c r="H992" s="174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174"/>
      <c r="T992" s="174"/>
    </row>
    <row r="993" spans="1:20">
      <c r="A993" s="174"/>
      <c r="B993" s="174"/>
      <c r="C993" s="174"/>
      <c r="D993" s="174"/>
      <c r="E993" s="174"/>
      <c r="F993" s="174"/>
      <c r="G993" s="174"/>
      <c r="H993" s="174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174"/>
      <c r="T993" s="174"/>
    </row>
    <row r="994" spans="1:20">
      <c r="A994" s="174"/>
      <c r="B994" s="174"/>
      <c r="C994" s="174"/>
      <c r="D994" s="174"/>
      <c r="E994" s="174"/>
      <c r="F994" s="174"/>
      <c r="G994" s="174"/>
      <c r="H994" s="174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174"/>
      <c r="T994" s="174"/>
    </row>
    <row r="995" spans="1:20">
      <c r="A995" s="174"/>
      <c r="B995" s="174"/>
      <c r="C995" s="174"/>
      <c r="D995" s="174"/>
      <c r="E995" s="174"/>
      <c r="F995" s="174"/>
      <c r="G995" s="174"/>
      <c r="H995" s="174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174"/>
      <c r="T995" s="174"/>
    </row>
    <row r="996" spans="1:20">
      <c r="A996" s="174"/>
      <c r="B996" s="174"/>
      <c r="C996" s="174"/>
      <c r="D996" s="174"/>
      <c r="E996" s="174"/>
      <c r="F996" s="174"/>
      <c r="G996" s="174"/>
      <c r="H996" s="174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174"/>
      <c r="T996" s="174"/>
    </row>
    <row r="997" spans="1:20">
      <c r="A997" s="174"/>
      <c r="B997" s="174"/>
      <c r="C997" s="174"/>
      <c r="D997" s="174"/>
      <c r="E997" s="174"/>
      <c r="F997" s="174"/>
      <c r="G997" s="174"/>
      <c r="H997" s="174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174"/>
      <c r="T997" s="174"/>
    </row>
    <row r="998" spans="1:20">
      <c r="A998" s="174"/>
      <c r="B998" s="174"/>
      <c r="C998" s="174"/>
      <c r="D998" s="174"/>
      <c r="E998" s="174"/>
      <c r="F998" s="174"/>
      <c r="G998" s="174"/>
      <c r="H998" s="174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174"/>
      <c r="T998" s="174"/>
    </row>
    <row r="999" spans="1:20">
      <c r="A999" s="174"/>
      <c r="B999" s="174"/>
      <c r="C999" s="174"/>
      <c r="D999" s="174"/>
      <c r="E999" s="174"/>
      <c r="F999" s="174"/>
      <c r="G999" s="174"/>
      <c r="H999" s="174"/>
      <c r="I999" s="174"/>
      <c r="J999" s="174"/>
      <c r="K999" s="174"/>
      <c r="L999" s="174"/>
      <c r="M999" s="174"/>
      <c r="N999" s="174"/>
      <c r="O999" s="174"/>
      <c r="P999" s="174"/>
      <c r="Q999" s="174"/>
      <c r="R999" s="174"/>
      <c r="S999" s="174"/>
      <c r="T999" s="174"/>
    </row>
    <row r="1000" spans="1:20">
      <c r="A1000" s="174"/>
      <c r="B1000" s="174"/>
      <c r="C1000" s="174"/>
      <c r="D1000" s="174"/>
      <c r="E1000" s="174"/>
      <c r="F1000" s="174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174"/>
      <c r="T1000" s="174"/>
    </row>
    <row r="1001" spans="1:20">
      <c r="A1001" s="174"/>
      <c r="B1001" s="174"/>
      <c r="C1001" s="174"/>
      <c r="D1001" s="174"/>
      <c r="E1001" s="174"/>
      <c r="F1001" s="174"/>
      <c r="G1001" s="174"/>
      <c r="H1001" s="174"/>
      <c r="I1001" s="174"/>
      <c r="J1001" s="174"/>
      <c r="K1001" s="174"/>
      <c r="L1001" s="174"/>
      <c r="M1001" s="174"/>
      <c r="N1001" s="174"/>
      <c r="O1001" s="174"/>
      <c r="P1001" s="174"/>
      <c r="Q1001" s="174"/>
      <c r="R1001" s="174"/>
      <c r="S1001" s="174"/>
      <c r="T1001" s="174"/>
    </row>
    <row r="1002" spans="1:20">
      <c r="A1002" s="174"/>
      <c r="B1002" s="174"/>
      <c r="C1002" s="174"/>
      <c r="D1002" s="174"/>
      <c r="E1002" s="174"/>
      <c r="F1002" s="174"/>
      <c r="G1002" s="174"/>
      <c r="H1002" s="174"/>
      <c r="I1002" s="174"/>
      <c r="J1002" s="174"/>
      <c r="K1002" s="174"/>
      <c r="L1002" s="174"/>
      <c r="M1002" s="174"/>
      <c r="N1002" s="174"/>
      <c r="O1002" s="174"/>
      <c r="P1002" s="174"/>
      <c r="Q1002" s="174"/>
      <c r="R1002" s="174"/>
      <c r="S1002" s="174"/>
      <c r="T1002" s="174"/>
    </row>
    <row r="1003" spans="1:20">
      <c r="A1003" s="174"/>
      <c r="B1003" s="174"/>
      <c r="C1003" s="174"/>
      <c r="D1003" s="174"/>
      <c r="E1003" s="174"/>
      <c r="F1003" s="174"/>
      <c r="G1003" s="174"/>
      <c r="H1003" s="174"/>
      <c r="I1003" s="174"/>
      <c r="J1003" s="174"/>
      <c r="K1003" s="174"/>
      <c r="L1003" s="174"/>
      <c r="M1003" s="174"/>
      <c r="N1003" s="174"/>
      <c r="O1003" s="174"/>
      <c r="P1003" s="174"/>
      <c r="Q1003" s="174"/>
      <c r="R1003" s="174"/>
      <c r="S1003" s="174"/>
      <c r="T1003" s="174"/>
    </row>
    <row r="1004" spans="1:20">
      <c r="A1004" s="174"/>
      <c r="B1004" s="174"/>
      <c r="C1004" s="174"/>
      <c r="D1004" s="174"/>
      <c r="E1004" s="174"/>
      <c r="F1004" s="174"/>
      <c r="G1004" s="174"/>
      <c r="H1004" s="174"/>
      <c r="I1004" s="174"/>
      <c r="J1004" s="174"/>
      <c r="K1004" s="174"/>
      <c r="L1004" s="174"/>
      <c r="M1004" s="174"/>
      <c r="N1004" s="174"/>
      <c r="O1004" s="174"/>
      <c r="P1004" s="174"/>
      <c r="Q1004" s="174"/>
      <c r="R1004" s="174"/>
      <c r="S1004" s="174"/>
      <c r="T1004" s="174"/>
    </row>
    <row r="1005" spans="1:20">
      <c r="A1005" s="174"/>
      <c r="B1005" s="174"/>
      <c r="C1005" s="174"/>
      <c r="D1005" s="174"/>
      <c r="E1005" s="174"/>
      <c r="F1005" s="174"/>
      <c r="G1005" s="174"/>
      <c r="H1005" s="174"/>
      <c r="I1005" s="174"/>
      <c r="J1005" s="174"/>
      <c r="K1005" s="174"/>
      <c r="L1005" s="174"/>
      <c r="M1005" s="174"/>
      <c r="N1005" s="174"/>
      <c r="O1005" s="174"/>
      <c r="P1005" s="174"/>
      <c r="Q1005" s="174"/>
      <c r="R1005" s="174"/>
      <c r="S1005" s="174"/>
      <c r="T1005" s="174"/>
    </row>
    <row r="1006" spans="1:20">
      <c r="A1006" s="174"/>
      <c r="B1006" s="174"/>
      <c r="C1006" s="174"/>
      <c r="D1006" s="174"/>
      <c r="E1006" s="174"/>
      <c r="F1006" s="174"/>
      <c r="G1006" s="174"/>
      <c r="H1006" s="174"/>
      <c r="I1006" s="174"/>
      <c r="J1006" s="174"/>
      <c r="K1006" s="174"/>
      <c r="L1006" s="174"/>
      <c r="M1006" s="174"/>
      <c r="N1006" s="174"/>
      <c r="O1006" s="174"/>
      <c r="P1006" s="174"/>
      <c r="Q1006" s="174"/>
      <c r="R1006" s="174"/>
      <c r="S1006" s="174"/>
      <c r="T1006" s="174"/>
    </row>
    <row r="1007" spans="1:20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  <c r="K1007" s="174"/>
      <c r="L1007" s="174"/>
      <c r="M1007" s="174"/>
      <c r="N1007" s="174"/>
      <c r="O1007" s="174"/>
      <c r="P1007" s="174"/>
      <c r="Q1007" s="174"/>
      <c r="R1007" s="174"/>
      <c r="S1007" s="174"/>
      <c r="T1007" s="174"/>
    </row>
    <row r="1008" spans="1:20">
      <c r="A1008" s="174"/>
      <c r="B1008" s="174"/>
      <c r="C1008" s="174"/>
      <c r="D1008" s="174"/>
      <c r="E1008" s="174"/>
      <c r="F1008" s="174"/>
      <c r="G1008" s="174"/>
      <c r="H1008" s="174"/>
      <c r="I1008" s="174"/>
      <c r="J1008" s="174"/>
      <c r="K1008" s="174"/>
      <c r="L1008" s="174"/>
      <c r="M1008" s="174"/>
      <c r="N1008" s="174"/>
      <c r="O1008" s="174"/>
      <c r="P1008" s="174"/>
      <c r="Q1008" s="174"/>
      <c r="R1008" s="174"/>
      <c r="S1008" s="174"/>
      <c r="T1008" s="174"/>
    </row>
    <row r="1009" spans="1:20">
      <c r="A1009" s="174"/>
      <c r="B1009" s="174"/>
      <c r="C1009" s="174"/>
      <c r="D1009" s="174"/>
      <c r="E1009" s="174"/>
      <c r="F1009" s="174"/>
      <c r="G1009" s="174"/>
      <c r="H1009" s="174"/>
      <c r="I1009" s="174"/>
      <c r="J1009" s="174"/>
      <c r="K1009" s="174"/>
      <c r="L1009" s="174"/>
      <c r="M1009" s="174"/>
      <c r="N1009" s="174"/>
      <c r="O1009" s="174"/>
      <c r="P1009" s="174"/>
      <c r="Q1009" s="174"/>
      <c r="R1009" s="174"/>
      <c r="S1009" s="174"/>
      <c r="T1009" s="174"/>
    </row>
    <row r="1010" spans="1:20">
      <c r="A1010" s="174"/>
      <c r="B1010" s="174"/>
      <c r="C1010" s="174"/>
      <c r="D1010" s="174"/>
      <c r="E1010" s="174"/>
      <c r="F1010" s="174"/>
      <c r="G1010" s="174"/>
      <c r="H1010" s="174"/>
      <c r="I1010" s="174"/>
      <c r="J1010" s="174"/>
      <c r="K1010" s="174"/>
      <c r="L1010" s="174"/>
      <c r="M1010" s="174"/>
      <c r="N1010" s="174"/>
      <c r="O1010" s="174"/>
      <c r="P1010" s="174"/>
      <c r="Q1010" s="174"/>
      <c r="R1010" s="174"/>
      <c r="S1010" s="174"/>
      <c r="T1010" s="174"/>
    </row>
    <row r="1011" spans="1:20">
      <c r="A1011" s="174"/>
      <c r="B1011" s="174"/>
      <c r="C1011" s="174"/>
      <c r="D1011" s="174"/>
      <c r="E1011" s="174"/>
      <c r="F1011" s="174"/>
      <c r="G1011" s="174"/>
      <c r="H1011" s="174"/>
      <c r="I1011" s="174"/>
      <c r="J1011" s="174"/>
      <c r="K1011" s="174"/>
      <c r="L1011" s="174"/>
      <c r="M1011" s="174"/>
      <c r="N1011" s="174"/>
      <c r="O1011" s="174"/>
      <c r="P1011" s="174"/>
      <c r="Q1011" s="174"/>
      <c r="R1011" s="174"/>
      <c r="S1011" s="174"/>
      <c r="T1011" s="174"/>
    </row>
    <row r="1012" spans="1:20">
      <c r="A1012" s="174"/>
      <c r="B1012" s="174"/>
      <c r="C1012" s="174"/>
      <c r="D1012" s="174"/>
      <c r="E1012" s="174"/>
      <c r="F1012" s="174"/>
      <c r="G1012" s="174"/>
      <c r="H1012" s="174"/>
      <c r="I1012" s="174"/>
      <c r="J1012" s="174"/>
      <c r="K1012" s="174"/>
      <c r="L1012" s="174"/>
      <c r="M1012" s="174"/>
      <c r="N1012" s="174"/>
      <c r="O1012" s="174"/>
      <c r="P1012" s="174"/>
      <c r="Q1012" s="174"/>
      <c r="R1012" s="174"/>
      <c r="S1012" s="174"/>
      <c r="T1012" s="174"/>
    </row>
    <row r="1013" spans="1:20">
      <c r="A1013" s="174"/>
      <c r="B1013" s="174"/>
      <c r="C1013" s="174"/>
      <c r="D1013" s="174"/>
      <c r="E1013" s="174"/>
      <c r="F1013" s="174"/>
      <c r="G1013" s="174"/>
      <c r="H1013" s="174"/>
      <c r="I1013" s="174"/>
      <c r="J1013" s="174"/>
      <c r="K1013" s="174"/>
      <c r="L1013" s="174"/>
      <c r="M1013" s="174"/>
      <c r="N1013" s="174"/>
      <c r="O1013" s="174"/>
      <c r="P1013" s="174"/>
      <c r="Q1013" s="174"/>
      <c r="R1013" s="174"/>
      <c r="S1013" s="174"/>
      <c r="T1013" s="174"/>
    </row>
    <row r="1014" spans="1:20">
      <c r="A1014" s="174"/>
      <c r="B1014" s="174"/>
      <c r="C1014" s="174"/>
      <c r="D1014" s="174"/>
      <c r="E1014" s="174"/>
      <c r="F1014" s="174"/>
      <c r="G1014" s="174"/>
      <c r="H1014" s="174"/>
      <c r="I1014" s="174"/>
      <c r="J1014" s="174"/>
      <c r="K1014" s="174"/>
      <c r="L1014" s="174"/>
      <c r="M1014" s="174"/>
      <c r="N1014" s="174"/>
      <c r="O1014" s="174"/>
      <c r="P1014" s="174"/>
      <c r="Q1014" s="174"/>
      <c r="R1014" s="174"/>
      <c r="S1014" s="174"/>
      <c r="T1014" s="1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T977"/>
  <sheetViews>
    <sheetView workbookViewId="0">
      <pane ySplit="15" topLeftCell="A16" activePane="bottomLeft" state="frozen"/>
      <selection pane="bottomLeft" activeCell="B17" sqref="B17"/>
    </sheetView>
  </sheetViews>
  <sheetFormatPr baseColWidth="10" defaultColWidth="14.453125" defaultRowHeight="15" customHeight="1"/>
  <sheetData>
    <row r="1" spans="1:20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>
      <c r="A2" s="175" t="s">
        <v>232</v>
      </c>
      <c r="B2" s="177">
        <v>2000000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>
      <c r="A3" s="175" t="s">
        <v>233</v>
      </c>
      <c r="B3" s="177">
        <v>24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0">
      <c r="A4" s="175" t="s">
        <v>234</v>
      </c>
      <c r="B4" s="178">
        <v>0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>
      <c r="A5" s="175" t="s">
        <v>235</v>
      </c>
      <c r="B5" s="179">
        <f>Hypotheses!F23</f>
        <v>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</row>
    <row r="6" spans="1:20">
      <c r="A6" s="180" t="s">
        <v>236</v>
      </c>
      <c r="B6" s="181">
        <f>IF(B4=0,-PMT(B9,B3,B2),-PMT(B9,B3-B4,B2))</f>
        <v>92779.860456838724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</row>
    <row r="7" spans="1:20">
      <c r="A7" s="175" t="s">
        <v>237</v>
      </c>
      <c r="B7" s="182">
        <v>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</row>
    <row r="8" spans="1:20">
      <c r="A8" s="175" t="s">
        <v>238</v>
      </c>
      <c r="B8" s="183">
        <v>17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9" spans="1:20">
      <c r="A9" s="174" t="s">
        <v>239</v>
      </c>
      <c r="B9" s="184">
        <f>((B5/100)*(1+B8/100)+B7/100)/12</f>
        <v>8.7749999999999998E-3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</row>
    <row r="10" spans="1:20">
      <c r="A10" s="175"/>
      <c r="B10" s="175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</row>
    <row r="11" spans="1:20">
      <c r="A11" s="185" t="s">
        <v>240</v>
      </c>
      <c r="B11" s="186">
        <f>IF(B4=0,0,(1+B8/100)*(B2*B5/100)/12)</f>
        <v>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</row>
    <row r="12" spans="1:20">
      <c r="A12" s="174" t="s">
        <v>241</v>
      </c>
      <c r="B12" s="187">
        <f>+B6*B3</f>
        <v>2226716.6509641293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</row>
    <row r="13" spans="1:20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</row>
    <row r="14" spans="1:20">
      <c r="A14" s="174" t="s">
        <v>242</v>
      </c>
      <c r="B14" s="174"/>
      <c r="C14" s="174" t="s">
        <v>243</v>
      </c>
      <c r="D14" s="174" t="s">
        <v>244</v>
      </c>
      <c r="E14" s="174" t="s">
        <v>245</v>
      </c>
      <c r="F14" s="174" t="s">
        <v>246</v>
      </c>
      <c r="G14" s="174" t="s">
        <v>247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</row>
    <row r="15" spans="1:20">
      <c r="A15" s="188"/>
      <c r="B15" s="188"/>
      <c r="C15" s="188"/>
      <c r="D15" s="188"/>
      <c r="E15" s="188"/>
      <c r="F15" s="188"/>
      <c r="G15" s="189">
        <f>+B2</f>
        <v>2000000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</row>
    <row r="16" spans="1:20">
      <c r="A16" s="190">
        <v>1</v>
      </c>
      <c r="B16" s="191"/>
      <c r="C16" s="192">
        <f t="shared" ref="C16:C39" si="0">+F16-D16-E16</f>
        <v>75229.860456838724</v>
      </c>
      <c r="D16" s="192">
        <f t="shared" ref="D16:D39" si="1">+G15*$B$5/1200</f>
        <v>15000</v>
      </c>
      <c r="E16" s="192">
        <f t="shared" ref="E16:E39" si="2">+D16*$B$8/100</f>
        <v>2550</v>
      </c>
      <c r="F16" s="192">
        <f t="shared" ref="F16:F39" si="3">+$B$6</f>
        <v>92779.860456838724</v>
      </c>
      <c r="G16" s="193">
        <f t="shared" ref="G16:G39" si="4">+G15-C16</f>
        <v>1924770.1395431613</v>
      </c>
      <c r="H16" s="174"/>
      <c r="I16" s="194"/>
      <c r="J16" s="194">
        <f>Hypotheses!G5</f>
        <v>2021</v>
      </c>
      <c r="K16" s="194">
        <f>Hypotheses!H5</f>
        <v>2022</v>
      </c>
      <c r="L16" s="174"/>
      <c r="M16" s="174"/>
      <c r="N16" s="174"/>
      <c r="O16" s="174"/>
      <c r="P16" s="174"/>
      <c r="Q16" s="174"/>
      <c r="R16" s="174"/>
      <c r="S16" s="174"/>
      <c r="T16" s="174"/>
    </row>
    <row r="17" spans="1:20">
      <c r="A17" s="195">
        <v>2</v>
      </c>
      <c r="B17" s="185"/>
      <c r="C17" s="196">
        <f t="shared" si="0"/>
        <v>75890.002482347481</v>
      </c>
      <c r="D17" s="196">
        <f t="shared" si="1"/>
        <v>14435.776046573708</v>
      </c>
      <c r="E17" s="196">
        <f t="shared" si="2"/>
        <v>2454.0819279175303</v>
      </c>
      <c r="F17" s="196">
        <f t="shared" si="3"/>
        <v>92779.860456838724</v>
      </c>
      <c r="G17" s="197">
        <f t="shared" si="4"/>
        <v>1848880.1370608138</v>
      </c>
      <c r="H17" s="174"/>
      <c r="I17" s="198" t="s">
        <v>248</v>
      </c>
      <c r="J17" s="199">
        <f>SUM(C16:C27)</f>
        <v>947627.62177505717</v>
      </c>
      <c r="K17" s="199">
        <f>SUM(C28:C39)</f>
        <v>1052372.3782249428</v>
      </c>
      <c r="L17" s="174"/>
      <c r="M17" s="174"/>
      <c r="N17" s="174"/>
      <c r="O17" s="174"/>
      <c r="P17" s="174"/>
      <c r="Q17" s="174"/>
      <c r="R17" s="174"/>
      <c r="S17" s="174"/>
      <c r="T17" s="174"/>
    </row>
    <row r="18" spans="1:20">
      <c r="A18" s="195">
        <v>3</v>
      </c>
      <c r="B18" s="185"/>
      <c r="C18" s="196">
        <f t="shared" si="0"/>
        <v>76555.937254130084</v>
      </c>
      <c r="D18" s="196">
        <f t="shared" si="1"/>
        <v>13866.601027956103</v>
      </c>
      <c r="E18" s="196">
        <f t="shared" si="2"/>
        <v>2357.3221747525376</v>
      </c>
      <c r="F18" s="200">
        <f t="shared" si="3"/>
        <v>92779.860456838724</v>
      </c>
      <c r="G18" s="197">
        <f t="shared" si="4"/>
        <v>1772324.1998066837</v>
      </c>
      <c r="H18" s="174"/>
      <c r="I18" s="198" t="s">
        <v>249</v>
      </c>
      <c r="J18" s="199">
        <f>SUM(D16:D27)+SUM(E16:E27)</f>
        <v>165730.70370700752</v>
      </c>
      <c r="K18" s="199">
        <f>SUM(D28:D39)+SUM(E28:E39)</f>
        <v>60985.94725712169</v>
      </c>
      <c r="L18" s="174"/>
      <c r="M18" s="174"/>
      <c r="N18" s="174"/>
      <c r="O18" s="174"/>
      <c r="P18" s="174"/>
      <c r="Q18" s="174"/>
      <c r="R18" s="174"/>
      <c r="S18" s="174"/>
      <c r="T18" s="174"/>
    </row>
    <row r="19" spans="1:20">
      <c r="A19" s="195">
        <v>4</v>
      </c>
      <c r="B19" s="185"/>
      <c r="C19" s="196">
        <f t="shared" si="0"/>
        <v>77227.715603535078</v>
      </c>
      <c r="D19" s="196">
        <f t="shared" si="1"/>
        <v>13292.431498550128</v>
      </c>
      <c r="E19" s="196">
        <f t="shared" si="2"/>
        <v>2259.7133547535218</v>
      </c>
      <c r="F19" s="196">
        <f t="shared" si="3"/>
        <v>92779.860456838724</v>
      </c>
      <c r="G19" s="197">
        <f t="shared" si="4"/>
        <v>1695096.4842031486</v>
      </c>
      <c r="H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</row>
    <row r="20" spans="1:20">
      <c r="A20" s="195">
        <v>5</v>
      </c>
      <c r="B20" s="185"/>
      <c r="C20" s="196">
        <f t="shared" si="0"/>
        <v>77905.388807956086</v>
      </c>
      <c r="D20" s="196">
        <f t="shared" si="1"/>
        <v>12713.223631523615</v>
      </c>
      <c r="E20" s="196">
        <f t="shared" si="2"/>
        <v>2161.2480173590143</v>
      </c>
      <c r="F20" s="200">
        <f t="shared" si="3"/>
        <v>92779.860456838724</v>
      </c>
      <c r="G20" s="197">
        <f t="shared" si="4"/>
        <v>1617191.0953951925</v>
      </c>
      <c r="H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</row>
    <row r="21" spans="1:20">
      <c r="A21" s="195">
        <v>6</v>
      </c>
      <c r="B21" s="185"/>
      <c r="C21" s="196">
        <f t="shared" si="0"/>
        <v>78589.008594745916</v>
      </c>
      <c r="D21" s="196">
        <f t="shared" si="1"/>
        <v>12128.933215463943</v>
      </c>
      <c r="E21" s="196">
        <f t="shared" si="2"/>
        <v>2061.9186466288702</v>
      </c>
      <c r="F21" s="196">
        <f t="shared" si="3"/>
        <v>92779.860456838724</v>
      </c>
      <c r="G21" s="197">
        <f t="shared" si="4"/>
        <v>1538602.0868004465</v>
      </c>
      <c r="H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</row>
    <row r="22" spans="1:20">
      <c r="A22" s="195">
        <v>7</v>
      </c>
      <c r="B22" s="185"/>
      <c r="C22" s="196">
        <f t="shared" si="0"/>
        <v>79278.627145164792</v>
      </c>
      <c r="D22" s="196">
        <f t="shared" si="1"/>
        <v>11539.515651003348</v>
      </c>
      <c r="E22" s="196">
        <f t="shared" si="2"/>
        <v>1961.7176606705691</v>
      </c>
      <c r="F22" s="200">
        <f t="shared" si="3"/>
        <v>92779.860456838724</v>
      </c>
      <c r="G22" s="197">
        <f t="shared" si="4"/>
        <v>1459323.4596552816</v>
      </c>
      <c r="H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</row>
    <row r="23" spans="1:20">
      <c r="A23" s="195">
        <v>8</v>
      </c>
      <c r="B23" s="185"/>
      <c r="C23" s="196">
        <f t="shared" si="0"/>
        <v>79974.297098363633</v>
      </c>
      <c r="D23" s="196">
        <f t="shared" si="1"/>
        <v>10944.925947414611</v>
      </c>
      <c r="E23" s="196">
        <f t="shared" si="2"/>
        <v>1860.6374110604841</v>
      </c>
      <c r="F23" s="196">
        <f t="shared" si="3"/>
        <v>92779.860456838724</v>
      </c>
      <c r="G23" s="197">
        <f t="shared" si="4"/>
        <v>1379349.1625569179</v>
      </c>
      <c r="H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1:20">
      <c r="A24" s="195">
        <v>9</v>
      </c>
      <c r="B24" s="185"/>
      <c r="C24" s="196">
        <f t="shared" si="0"/>
        <v>80676.071555401766</v>
      </c>
      <c r="D24" s="196">
        <f t="shared" si="1"/>
        <v>10345.118719176884</v>
      </c>
      <c r="E24" s="196">
        <f t="shared" si="2"/>
        <v>1758.6701822600703</v>
      </c>
      <c r="F24" s="200">
        <f t="shared" si="3"/>
        <v>92779.860456838724</v>
      </c>
      <c r="G24" s="197">
        <f t="shared" si="4"/>
        <v>1298673.0910015162</v>
      </c>
      <c r="H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1:20">
      <c r="A25" s="195">
        <v>10</v>
      </c>
      <c r="B25" s="185"/>
      <c r="C25" s="196">
        <f t="shared" si="0"/>
        <v>81384.004083300417</v>
      </c>
      <c r="D25" s="196">
        <f t="shared" si="1"/>
        <v>9740.0481825113711</v>
      </c>
      <c r="E25" s="196">
        <f t="shared" si="2"/>
        <v>1655.8081910269332</v>
      </c>
      <c r="F25" s="196">
        <f t="shared" si="3"/>
        <v>92779.860456838724</v>
      </c>
      <c r="G25" s="197">
        <f t="shared" si="4"/>
        <v>1217289.0869182157</v>
      </c>
      <c r="H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</row>
    <row r="26" spans="1:20">
      <c r="A26" s="195">
        <v>11</v>
      </c>
      <c r="B26" s="185"/>
      <c r="C26" s="196">
        <f t="shared" si="0"/>
        <v>82098.148719131379</v>
      </c>
      <c r="D26" s="196">
        <f t="shared" si="1"/>
        <v>9129.6681518866189</v>
      </c>
      <c r="E26" s="196">
        <f t="shared" si="2"/>
        <v>1552.0435858207252</v>
      </c>
      <c r="F26" s="200">
        <f t="shared" si="3"/>
        <v>92779.860456838724</v>
      </c>
      <c r="G26" s="197">
        <f t="shared" si="4"/>
        <v>1135190.9381990843</v>
      </c>
      <c r="H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1:20">
      <c r="A27" s="201">
        <v>12</v>
      </c>
      <c r="B27" s="202"/>
      <c r="C27" s="203">
        <f t="shared" si="0"/>
        <v>82818.559974141754</v>
      </c>
      <c r="D27" s="203">
        <f t="shared" si="1"/>
        <v>8513.9320364931318</v>
      </c>
      <c r="E27" s="203">
        <f t="shared" si="2"/>
        <v>1447.3684462038323</v>
      </c>
      <c r="F27" s="203">
        <f t="shared" si="3"/>
        <v>92779.860456838724</v>
      </c>
      <c r="G27" s="204">
        <f t="shared" si="4"/>
        <v>1052372.3782249426</v>
      </c>
      <c r="H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1:20">
      <c r="A28" s="190">
        <v>13</v>
      </c>
      <c r="B28" s="191"/>
      <c r="C28" s="192">
        <f t="shared" si="0"/>
        <v>83545.292837914851</v>
      </c>
      <c r="D28" s="192">
        <f t="shared" si="1"/>
        <v>7892.7928366870701</v>
      </c>
      <c r="E28" s="192">
        <f t="shared" si="2"/>
        <v>1341.7747822368019</v>
      </c>
      <c r="F28" s="205">
        <f t="shared" si="3"/>
        <v>92779.860456838724</v>
      </c>
      <c r="G28" s="193">
        <f t="shared" si="4"/>
        <v>968827.08538702771</v>
      </c>
      <c r="H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  <row r="29" spans="1:20">
      <c r="A29" s="195">
        <v>14</v>
      </c>
      <c r="B29" s="185"/>
      <c r="C29" s="196">
        <f t="shared" si="0"/>
        <v>84278.402782567558</v>
      </c>
      <c r="D29" s="196">
        <f t="shared" si="1"/>
        <v>7266.2031404027075</v>
      </c>
      <c r="E29" s="196">
        <f t="shared" si="2"/>
        <v>1235.2545338684604</v>
      </c>
      <c r="F29" s="196">
        <f t="shared" si="3"/>
        <v>92779.860456838724</v>
      </c>
      <c r="G29" s="197">
        <f t="shared" si="4"/>
        <v>884548.68260446016</v>
      </c>
      <c r="H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</row>
    <row r="30" spans="1:20">
      <c r="A30" s="195">
        <v>15</v>
      </c>
      <c r="B30" s="185"/>
      <c r="C30" s="196">
        <f t="shared" si="0"/>
        <v>85017.945766984587</v>
      </c>
      <c r="D30" s="196">
        <f t="shared" si="1"/>
        <v>6634.1151195334514</v>
      </c>
      <c r="E30" s="196">
        <f t="shared" si="2"/>
        <v>1127.7995703206868</v>
      </c>
      <c r="F30" s="200">
        <f t="shared" si="3"/>
        <v>92779.860456838724</v>
      </c>
      <c r="G30" s="197">
        <f t="shared" si="4"/>
        <v>799530.73683747556</v>
      </c>
      <c r="H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</row>
    <row r="31" spans="1:20">
      <c r="A31" s="195">
        <v>16</v>
      </c>
      <c r="B31" s="185"/>
      <c r="C31" s="196">
        <f t="shared" si="0"/>
        <v>85763.978241089877</v>
      </c>
      <c r="D31" s="196">
        <f t="shared" si="1"/>
        <v>5996.4805262810669</v>
      </c>
      <c r="E31" s="196">
        <f t="shared" si="2"/>
        <v>1019.4016894677814</v>
      </c>
      <c r="F31" s="196">
        <f t="shared" si="3"/>
        <v>92779.860456838724</v>
      </c>
      <c r="G31" s="197">
        <f t="shared" si="4"/>
        <v>713766.75859638571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</row>
    <row r="32" spans="1:20">
      <c r="A32" s="195">
        <v>17</v>
      </c>
      <c r="B32" s="185"/>
      <c r="C32" s="196">
        <f t="shared" si="0"/>
        <v>86516.557150155451</v>
      </c>
      <c r="D32" s="196">
        <f t="shared" si="1"/>
        <v>5353.2506894728931</v>
      </c>
      <c r="E32" s="196">
        <f t="shared" si="2"/>
        <v>910.05261721039176</v>
      </c>
      <c r="F32" s="200">
        <f t="shared" si="3"/>
        <v>92779.860456838724</v>
      </c>
      <c r="G32" s="197">
        <f t="shared" si="4"/>
        <v>627250.20144623029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</row>
    <row r="33" spans="1:20">
      <c r="A33" s="195">
        <v>18</v>
      </c>
      <c r="B33" s="185"/>
      <c r="C33" s="196">
        <f t="shared" si="0"/>
        <v>87275.739939148043</v>
      </c>
      <c r="D33" s="196">
        <f t="shared" si="1"/>
        <v>4704.3765108467278</v>
      </c>
      <c r="E33" s="196">
        <f t="shared" si="2"/>
        <v>799.74400684394379</v>
      </c>
      <c r="F33" s="196">
        <f t="shared" si="3"/>
        <v>92779.860456838724</v>
      </c>
      <c r="G33" s="197">
        <f t="shared" si="4"/>
        <v>539974.46150708222</v>
      </c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</row>
    <row r="34" spans="1:20">
      <c r="A34" s="195">
        <v>19</v>
      </c>
      <c r="B34" s="185"/>
      <c r="C34" s="196">
        <f t="shared" si="0"/>
        <v>88041.584557114082</v>
      </c>
      <c r="D34" s="196">
        <f t="shared" si="1"/>
        <v>4049.8084613031165</v>
      </c>
      <c r="E34" s="196">
        <f t="shared" si="2"/>
        <v>688.46743842152978</v>
      </c>
      <c r="F34" s="200">
        <f t="shared" si="3"/>
        <v>92779.860456838724</v>
      </c>
      <c r="G34" s="197">
        <f t="shared" si="4"/>
        <v>451932.87694996817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1:20">
      <c r="A35" s="195">
        <v>20</v>
      </c>
      <c r="B35" s="185"/>
      <c r="C35" s="196">
        <f t="shared" si="0"/>
        <v>88814.149461602748</v>
      </c>
      <c r="D35" s="196">
        <f t="shared" si="1"/>
        <v>3389.4965771247612</v>
      </c>
      <c r="E35" s="196">
        <f t="shared" si="2"/>
        <v>576.2144181112094</v>
      </c>
      <c r="F35" s="196">
        <f t="shared" si="3"/>
        <v>92779.860456838724</v>
      </c>
      <c r="G35" s="197">
        <f t="shared" si="4"/>
        <v>363118.72748836543</v>
      </c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</row>
    <row r="36" spans="1:20">
      <c r="A36" s="195">
        <v>21</v>
      </c>
      <c r="B36" s="185"/>
      <c r="C36" s="196">
        <f t="shared" si="0"/>
        <v>89593.493623128321</v>
      </c>
      <c r="D36" s="196">
        <f t="shared" si="1"/>
        <v>2723.390456162741</v>
      </c>
      <c r="E36" s="196">
        <f t="shared" si="2"/>
        <v>462.976377547666</v>
      </c>
      <c r="F36" s="200">
        <f t="shared" si="3"/>
        <v>92779.860456838724</v>
      </c>
      <c r="G36" s="197">
        <f t="shared" si="4"/>
        <v>273525.2338652371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</row>
    <row r="37" spans="1:20">
      <c r="A37" s="195">
        <v>22</v>
      </c>
      <c r="B37" s="185"/>
      <c r="C37" s="196">
        <f t="shared" si="0"/>
        <v>90379.676529671269</v>
      </c>
      <c r="D37" s="196">
        <f t="shared" si="1"/>
        <v>2051.4392539892779</v>
      </c>
      <c r="E37" s="196">
        <f t="shared" si="2"/>
        <v>348.74467317817727</v>
      </c>
      <c r="F37" s="196">
        <f t="shared" si="3"/>
        <v>92779.860456838724</v>
      </c>
      <c r="G37" s="197">
        <f t="shared" si="4"/>
        <v>183145.55733556583</v>
      </c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</row>
    <row r="38" spans="1:20">
      <c r="A38" s="195">
        <v>23</v>
      </c>
      <c r="B38" s="185"/>
      <c r="C38" s="196">
        <f t="shared" si="0"/>
        <v>91172.758191219124</v>
      </c>
      <c r="D38" s="196">
        <f t="shared" si="1"/>
        <v>1373.5916800167436</v>
      </c>
      <c r="E38" s="196">
        <f t="shared" si="2"/>
        <v>233.51058560284639</v>
      </c>
      <c r="F38" s="200">
        <f t="shared" si="3"/>
        <v>92779.860456838724</v>
      </c>
      <c r="G38" s="197">
        <f t="shared" si="4"/>
        <v>91972.799144346704</v>
      </c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1:20">
      <c r="A39" s="201">
        <v>24</v>
      </c>
      <c r="B39" s="202"/>
      <c r="C39" s="203">
        <f t="shared" si="0"/>
        <v>91972.799144347067</v>
      </c>
      <c r="D39" s="203">
        <f t="shared" si="1"/>
        <v>689.79599358260032</v>
      </c>
      <c r="E39" s="203">
        <f t="shared" si="2"/>
        <v>117.26531890904205</v>
      </c>
      <c r="F39" s="203">
        <f t="shared" si="3"/>
        <v>92779.860456838724</v>
      </c>
      <c r="G39" s="204">
        <f t="shared" si="4"/>
        <v>-3.637978807091713E-10</v>
      </c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</row>
    <row r="40" spans="1:20">
      <c r="A40" s="174"/>
      <c r="B40" s="174"/>
      <c r="C40" s="206"/>
      <c r="D40" s="206"/>
      <c r="E40" s="206"/>
      <c r="F40" s="206"/>
      <c r="G40" s="206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</row>
    <row r="41" spans="1:20">
      <c r="A41" s="174"/>
      <c r="B41" s="174"/>
      <c r="C41" s="187">
        <f t="shared" ref="C41:F41" si="5">SUM(C16:C39)</f>
        <v>2000000.0000000005</v>
      </c>
      <c r="D41" s="187">
        <f t="shared" si="5"/>
        <v>193774.91535395655</v>
      </c>
      <c r="E41" s="187">
        <f t="shared" si="5"/>
        <v>32941.735610172625</v>
      </c>
      <c r="F41" s="187">
        <f t="shared" si="5"/>
        <v>2226716.6509641293</v>
      </c>
      <c r="G41" s="206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</row>
    <row r="42" spans="1:20">
      <c r="A42" s="174"/>
      <c r="B42" s="174"/>
      <c r="C42" s="206"/>
      <c r="D42" s="206"/>
      <c r="E42" s="206"/>
      <c r="F42" s="206"/>
      <c r="G42" s="206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</row>
    <row r="43" spans="1:20">
      <c r="A43" s="174"/>
      <c r="B43" s="174"/>
      <c r="C43" s="206"/>
      <c r="D43" s="206"/>
      <c r="E43" s="206"/>
      <c r="F43" s="206"/>
      <c r="G43" s="206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</row>
    <row r="44" spans="1:20">
      <c r="A44" s="174"/>
      <c r="B44" s="174"/>
      <c r="C44" s="206"/>
      <c r="D44" s="206"/>
      <c r="E44" s="206"/>
      <c r="F44" s="206"/>
      <c r="G44" s="206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1:20">
      <c r="A45" s="174"/>
      <c r="B45" s="174"/>
      <c r="C45" s="206"/>
      <c r="D45" s="206"/>
      <c r="E45" s="206"/>
      <c r="F45" s="206"/>
      <c r="G45" s="206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  <row r="46" spans="1:20">
      <c r="A46" s="174"/>
      <c r="B46" s="174"/>
      <c r="C46" s="206"/>
      <c r="D46" s="206"/>
      <c r="E46" s="206"/>
      <c r="F46" s="206"/>
      <c r="G46" s="206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</row>
    <row r="47" spans="1:20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</row>
    <row r="48" spans="1:20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</row>
    <row r="49" spans="1:20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</row>
    <row r="50" spans="1:20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</row>
    <row r="51" spans="1:20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</row>
    <row r="52" spans="1:20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  <row r="53" spans="1:20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</row>
    <row r="54" spans="1:20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</row>
    <row r="55" spans="1:20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</row>
    <row r="56" spans="1:20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</row>
    <row r="57" spans="1:20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</row>
    <row r="58" spans="1:20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</row>
    <row r="59" spans="1:20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</row>
    <row r="60" spans="1:20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</row>
    <row r="61" spans="1:20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</row>
    <row r="62" spans="1:20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</row>
    <row r="63" spans="1:20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</row>
    <row r="64" spans="1:20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</row>
    <row r="65" spans="1:20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</row>
    <row r="66" spans="1:20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</row>
    <row r="67" spans="1:20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</row>
    <row r="68" spans="1:20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</row>
    <row r="69" spans="1:20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</row>
    <row r="70" spans="1:20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</row>
    <row r="71" spans="1:20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</row>
    <row r="72" spans="1:20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</row>
    <row r="73" spans="1:20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</row>
    <row r="74" spans="1:20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</row>
    <row r="75" spans="1:20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6" spans="1:20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</row>
    <row r="77" spans="1:20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</row>
    <row r="78" spans="1:20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</row>
    <row r="79" spans="1:20">
      <c r="A79" s="174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</row>
    <row r="80" spans="1:20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</row>
    <row r="81" spans="1:20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1:20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1:20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20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</row>
    <row r="85" spans="1:20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</row>
    <row r="86" spans="1:20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</row>
    <row r="87" spans="1:20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</row>
    <row r="88" spans="1:20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</row>
    <row r="89" spans="1:20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</row>
    <row r="90" spans="1:20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</row>
    <row r="91" spans="1:20">
      <c r="A91" s="174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</row>
    <row r="92" spans="1:20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</row>
    <row r="93" spans="1:20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</row>
    <row r="94" spans="1:20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</row>
    <row r="95" spans="1:20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</row>
    <row r="96" spans="1:20">
      <c r="A96" s="174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</row>
    <row r="97" spans="1:20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</row>
    <row r="98" spans="1:20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</row>
    <row r="99" spans="1:20">
      <c r="A99" s="174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</row>
    <row r="100" spans="1:20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</row>
    <row r="101" spans="1:20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</row>
    <row r="102" spans="1:20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</row>
    <row r="103" spans="1:20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</row>
    <row r="104" spans="1:20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</row>
    <row r="105" spans="1:20">
      <c r="A105" s="174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</row>
    <row r="106" spans="1:20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</row>
    <row r="107" spans="1:20">
      <c r="A107" s="174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</row>
    <row r="108" spans="1:20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</row>
    <row r="109" spans="1:20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</row>
    <row r="110" spans="1:20">
      <c r="A110" s="174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</row>
    <row r="111" spans="1:20">
      <c r="A111" s="174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</row>
    <row r="112" spans="1:20">
      <c r="A112" s="174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</row>
    <row r="113" spans="1:20">
      <c r="A113" s="174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</row>
    <row r="114" spans="1:20">
      <c r="A114" s="174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</row>
    <row r="115" spans="1:20">
      <c r="A115" s="174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</row>
    <row r="116" spans="1:20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</row>
    <row r="117" spans="1:20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</row>
    <row r="118" spans="1:20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</row>
    <row r="119" spans="1:20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</row>
    <row r="120" spans="1:20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</row>
    <row r="121" spans="1:20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</row>
    <row r="122" spans="1:20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</row>
    <row r="123" spans="1:20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</row>
    <row r="124" spans="1:20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</row>
    <row r="125" spans="1:20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</row>
    <row r="126" spans="1:20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</row>
    <row r="127" spans="1:20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</row>
    <row r="128" spans="1:20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</row>
    <row r="129" spans="1:20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</row>
    <row r="130" spans="1:20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</row>
    <row r="131" spans="1:20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</row>
    <row r="132" spans="1:20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</row>
    <row r="133" spans="1:20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</row>
    <row r="134" spans="1:20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</row>
    <row r="135" spans="1:20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</row>
    <row r="136" spans="1:20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</row>
    <row r="137" spans="1:20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</row>
    <row r="138" spans="1:20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</row>
    <row r="139" spans="1:20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</row>
    <row r="140" spans="1:20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</row>
    <row r="141" spans="1:20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</row>
    <row r="142" spans="1:20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</row>
    <row r="143" spans="1:20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</row>
    <row r="144" spans="1:20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</row>
    <row r="145" spans="1:20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</row>
    <row r="146" spans="1:20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</row>
    <row r="147" spans="1:20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</row>
    <row r="148" spans="1:20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</row>
    <row r="149" spans="1:20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</row>
    <row r="150" spans="1:20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</row>
    <row r="151" spans="1:20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</row>
    <row r="152" spans="1:20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</row>
    <row r="153" spans="1:20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</row>
    <row r="154" spans="1:20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</row>
    <row r="155" spans="1:20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</row>
    <row r="156" spans="1:20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</row>
    <row r="157" spans="1:20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</row>
    <row r="158" spans="1:20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</row>
    <row r="159" spans="1:20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</row>
    <row r="160" spans="1:20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</row>
    <row r="161" spans="1:20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</row>
    <row r="162" spans="1:20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</row>
    <row r="163" spans="1:20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</row>
    <row r="164" spans="1:20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</row>
    <row r="165" spans="1:20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</row>
    <row r="166" spans="1:20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</row>
    <row r="167" spans="1:20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</row>
    <row r="168" spans="1:20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</row>
    <row r="169" spans="1:20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</row>
    <row r="170" spans="1:20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</row>
    <row r="171" spans="1:20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</row>
    <row r="172" spans="1:20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</row>
    <row r="173" spans="1:20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</row>
    <row r="174" spans="1:20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</row>
    <row r="175" spans="1:20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</row>
    <row r="176" spans="1:20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</row>
    <row r="177" spans="1:20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</row>
    <row r="178" spans="1:20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</row>
    <row r="179" spans="1:20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</row>
    <row r="180" spans="1:20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</row>
    <row r="181" spans="1:20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</row>
    <row r="182" spans="1:20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</row>
    <row r="183" spans="1:20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</row>
    <row r="184" spans="1:20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</row>
    <row r="185" spans="1:20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</row>
    <row r="186" spans="1:20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</row>
    <row r="187" spans="1:20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</row>
    <row r="188" spans="1:20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</row>
    <row r="189" spans="1:20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</row>
    <row r="190" spans="1:20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</row>
    <row r="191" spans="1:20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</row>
    <row r="192" spans="1:20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</row>
    <row r="193" spans="1:20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</row>
    <row r="194" spans="1:20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</row>
    <row r="195" spans="1:20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</row>
    <row r="196" spans="1:20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</row>
    <row r="197" spans="1:20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</row>
    <row r="198" spans="1:20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</row>
    <row r="199" spans="1:20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</row>
    <row r="200" spans="1:20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</row>
    <row r="201" spans="1:20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</row>
    <row r="202" spans="1:20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</row>
    <row r="203" spans="1:20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</row>
    <row r="204" spans="1:20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</row>
    <row r="205" spans="1:20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</row>
    <row r="206" spans="1:20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</row>
    <row r="207" spans="1:20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</row>
    <row r="208" spans="1:20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</row>
    <row r="209" spans="1:20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</row>
    <row r="210" spans="1:20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</row>
    <row r="211" spans="1:20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</row>
    <row r="212" spans="1:20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</row>
    <row r="213" spans="1:20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</row>
    <row r="214" spans="1:20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</row>
    <row r="215" spans="1:20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</row>
    <row r="216" spans="1:20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</row>
    <row r="217" spans="1:20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</row>
    <row r="218" spans="1:20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</row>
    <row r="219" spans="1:20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</row>
    <row r="220" spans="1:20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</row>
    <row r="221" spans="1:20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</row>
    <row r="222" spans="1:20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</row>
    <row r="223" spans="1:20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</row>
    <row r="224" spans="1:20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</row>
    <row r="225" spans="1:20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</row>
    <row r="226" spans="1:20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</row>
    <row r="227" spans="1:20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</row>
    <row r="228" spans="1:20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</row>
    <row r="229" spans="1:20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</row>
    <row r="230" spans="1:20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</row>
    <row r="231" spans="1:20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</row>
    <row r="232" spans="1:20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</row>
    <row r="233" spans="1:20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</row>
    <row r="234" spans="1:20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</row>
    <row r="235" spans="1:20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</row>
    <row r="236" spans="1:20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</row>
    <row r="237" spans="1:20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</row>
    <row r="238" spans="1:20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</row>
    <row r="239" spans="1:20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</row>
    <row r="240" spans="1:20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</row>
    <row r="241" spans="1:20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</row>
    <row r="242" spans="1:20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</row>
    <row r="243" spans="1:20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</row>
    <row r="244" spans="1:20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</row>
    <row r="245" spans="1:20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</row>
    <row r="246" spans="1:20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</row>
    <row r="247" spans="1:20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</row>
    <row r="248" spans="1:20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</row>
    <row r="249" spans="1:20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</row>
    <row r="250" spans="1:20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4"/>
    </row>
    <row r="251" spans="1:20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</row>
    <row r="252" spans="1:20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</row>
    <row r="253" spans="1:20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</row>
    <row r="254" spans="1:20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</row>
    <row r="255" spans="1:20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</row>
    <row r="256" spans="1:20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</row>
    <row r="257" spans="1:20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</row>
    <row r="258" spans="1:20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</row>
    <row r="259" spans="1:20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</row>
    <row r="260" spans="1:20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</row>
    <row r="261" spans="1:20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</row>
    <row r="262" spans="1:20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</row>
    <row r="263" spans="1:20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</row>
    <row r="264" spans="1:20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</row>
    <row r="265" spans="1:20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</row>
    <row r="266" spans="1:20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</row>
    <row r="267" spans="1:20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</row>
    <row r="268" spans="1:20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</row>
    <row r="269" spans="1:20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</row>
    <row r="270" spans="1:20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</row>
    <row r="271" spans="1:20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</row>
    <row r="272" spans="1:20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</row>
    <row r="273" spans="1:20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</row>
    <row r="274" spans="1:20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4"/>
    </row>
    <row r="275" spans="1:20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</row>
    <row r="276" spans="1:20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</row>
    <row r="277" spans="1:20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</row>
    <row r="278" spans="1:20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</row>
    <row r="279" spans="1:20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</row>
    <row r="280" spans="1:20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</row>
    <row r="281" spans="1:20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</row>
    <row r="282" spans="1:20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</row>
    <row r="283" spans="1:20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</row>
    <row r="284" spans="1:20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4"/>
    </row>
    <row r="285" spans="1:20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</row>
    <row r="286" spans="1:20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</row>
    <row r="287" spans="1:20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</row>
    <row r="288" spans="1:20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</row>
    <row r="289" spans="1:20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</row>
    <row r="290" spans="1:20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</row>
    <row r="291" spans="1:20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</row>
    <row r="292" spans="1:20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4"/>
    </row>
    <row r="293" spans="1:20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</row>
    <row r="294" spans="1:20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4"/>
    </row>
    <row r="295" spans="1:20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</row>
    <row r="296" spans="1:20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</row>
    <row r="297" spans="1:20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</row>
    <row r="298" spans="1:20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</row>
    <row r="299" spans="1:20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</row>
    <row r="300" spans="1:20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</row>
    <row r="301" spans="1:20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</row>
    <row r="302" spans="1:20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</row>
    <row r="303" spans="1:20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</row>
    <row r="304" spans="1:20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</row>
    <row r="305" spans="1:20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</row>
    <row r="306" spans="1:20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</row>
    <row r="307" spans="1:20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</row>
    <row r="308" spans="1:20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</row>
    <row r="309" spans="1:20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</row>
    <row r="310" spans="1:20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</row>
    <row r="311" spans="1:20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</row>
    <row r="312" spans="1:20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</row>
    <row r="313" spans="1:20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</row>
    <row r="314" spans="1:20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4"/>
    </row>
    <row r="315" spans="1:20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</row>
    <row r="316" spans="1:20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4"/>
    </row>
    <row r="317" spans="1:20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</row>
    <row r="318" spans="1:20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</row>
    <row r="319" spans="1:20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</row>
    <row r="320" spans="1:20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</row>
    <row r="321" spans="1:20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</row>
    <row r="322" spans="1:20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</row>
    <row r="323" spans="1:20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</row>
    <row r="324" spans="1:20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</row>
    <row r="325" spans="1:20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</row>
    <row r="326" spans="1:20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4"/>
    </row>
    <row r="327" spans="1:20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</row>
    <row r="328" spans="1:20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</row>
    <row r="329" spans="1:20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</row>
    <row r="330" spans="1:20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</row>
    <row r="331" spans="1:20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</row>
    <row r="332" spans="1:20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</row>
    <row r="333" spans="1:20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</row>
    <row r="334" spans="1:20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</row>
    <row r="335" spans="1:20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</row>
    <row r="336" spans="1:20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</row>
    <row r="337" spans="1:20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</row>
    <row r="338" spans="1:20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</row>
    <row r="339" spans="1:20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</row>
    <row r="340" spans="1:20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4"/>
    </row>
    <row r="341" spans="1:20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4"/>
    </row>
    <row r="342" spans="1:20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</row>
    <row r="343" spans="1:20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</row>
    <row r="344" spans="1:20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4"/>
    </row>
    <row r="345" spans="1:20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</row>
    <row r="346" spans="1:20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</row>
    <row r="347" spans="1:20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4"/>
    </row>
    <row r="348" spans="1:20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</row>
    <row r="349" spans="1:20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</row>
    <row r="350" spans="1:20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</row>
    <row r="351" spans="1:20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</row>
    <row r="352" spans="1:20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</row>
    <row r="353" spans="1:20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</row>
    <row r="354" spans="1:20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</row>
    <row r="355" spans="1:20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</row>
    <row r="356" spans="1:20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</row>
    <row r="357" spans="1:20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</row>
    <row r="358" spans="1:20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4"/>
    </row>
    <row r="359" spans="1:20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4"/>
    </row>
    <row r="360" spans="1:20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</row>
    <row r="361" spans="1:20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</row>
    <row r="362" spans="1:20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</row>
    <row r="363" spans="1:20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</row>
    <row r="364" spans="1:20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</row>
    <row r="365" spans="1:20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</row>
    <row r="366" spans="1:20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</row>
    <row r="367" spans="1:20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</row>
    <row r="368" spans="1:20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</row>
    <row r="369" spans="1:20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</row>
    <row r="370" spans="1:20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</row>
    <row r="371" spans="1:20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</row>
    <row r="372" spans="1:20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</row>
    <row r="373" spans="1:20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</row>
    <row r="374" spans="1:20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</row>
    <row r="375" spans="1:20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</row>
    <row r="376" spans="1:20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4"/>
    </row>
    <row r="377" spans="1:20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4"/>
    </row>
    <row r="378" spans="1:20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4"/>
    </row>
    <row r="379" spans="1:20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</row>
    <row r="380" spans="1:20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4"/>
    </row>
    <row r="381" spans="1:20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</row>
    <row r="382" spans="1:20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4"/>
    </row>
    <row r="383" spans="1:20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</row>
    <row r="384" spans="1:20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</row>
    <row r="385" spans="1:20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</row>
    <row r="386" spans="1:20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</row>
    <row r="387" spans="1:20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</row>
    <row r="388" spans="1:20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</row>
    <row r="389" spans="1:20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4"/>
    </row>
    <row r="390" spans="1:20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</row>
    <row r="391" spans="1:20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4"/>
    </row>
    <row r="392" spans="1:20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</row>
    <row r="393" spans="1:20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</row>
    <row r="394" spans="1:20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4"/>
    </row>
    <row r="395" spans="1:20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</row>
    <row r="396" spans="1:20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</row>
    <row r="397" spans="1:20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</row>
    <row r="398" spans="1:20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</row>
    <row r="399" spans="1:20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</row>
    <row r="400" spans="1:20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</row>
    <row r="401" spans="1:20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</row>
    <row r="402" spans="1:20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</row>
    <row r="403" spans="1:20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</row>
    <row r="404" spans="1:20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</row>
    <row r="405" spans="1:20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4"/>
    </row>
    <row r="406" spans="1:20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</row>
    <row r="407" spans="1:20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4"/>
    </row>
    <row r="408" spans="1:20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4"/>
    </row>
    <row r="409" spans="1:20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4"/>
    </row>
    <row r="410" spans="1:20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</row>
    <row r="411" spans="1:20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</row>
    <row r="412" spans="1:20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</row>
    <row r="413" spans="1:20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</row>
    <row r="414" spans="1:20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</row>
    <row r="415" spans="1:20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</row>
    <row r="416" spans="1:20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</row>
    <row r="417" spans="1:20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</row>
    <row r="418" spans="1:20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</row>
    <row r="419" spans="1:20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</row>
    <row r="420" spans="1:20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</row>
    <row r="421" spans="1:20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</row>
    <row r="422" spans="1:20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</row>
    <row r="423" spans="1:20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</row>
    <row r="424" spans="1:20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</row>
    <row r="425" spans="1:20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</row>
    <row r="426" spans="1:20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</row>
    <row r="427" spans="1:20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</row>
    <row r="428" spans="1:20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</row>
    <row r="429" spans="1:20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</row>
    <row r="430" spans="1:20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4"/>
    </row>
    <row r="431" spans="1:20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</row>
    <row r="432" spans="1:20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</row>
    <row r="433" spans="1:20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</row>
    <row r="434" spans="1:20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</row>
    <row r="435" spans="1:20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</row>
    <row r="436" spans="1:20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</row>
    <row r="437" spans="1:20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</row>
    <row r="438" spans="1:20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</row>
    <row r="439" spans="1:20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</row>
    <row r="440" spans="1:20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</row>
    <row r="441" spans="1:20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</row>
    <row r="442" spans="1:20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</row>
    <row r="443" spans="1:20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</row>
    <row r="444" spans="1:20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4"/>
    </row>
    <row r="445" spans="1:20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</row>
    <row r="446" spans="1:20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</row>
    <row r="447" spans="1:20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</row>
    <row r="448" spans="1:20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</row>
    <row r="449" spans="1:20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</row>
    <row r="450" spans="1:20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</row>
    <row r="451" spans="1:20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</row>
    <row r="452" spans="1:20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</row>
    <row r="453" spans="1:20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</row>
    <row r="454" spans="1:20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</row>
    <row r="455" spans="1:20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</row>
    <row r="456" spans="1:20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</row>
    <row r="457" spans="1:20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</row>
    <row r="458" spans="1:20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</row>
    <row r="459" spans="1:20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</row>
    <row r="460" spans="1:20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</row>
    <row r="461" spans="1:20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</row>
    <row r="462" spans="1:20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</row>
    <row r="463" spans="1:20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</row>
    <row r="464" spans="1:20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</row>
    <row r="465" spans="1:20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</row>
    <row r="466" spans="1:20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</row>
    <row r="467" spans="1:20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</row>
    <row r="468" spans="1:20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</row>
    <row r="469" spans="1:20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</row>
    <row r="470" spans="1:20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</row>
    <row r="471" spans="1:20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</row>
    <row r="472" spans="1:20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</row>
    <row r="473" spans="1:20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</row>
    <row r="474" spans="1:20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</row>
    <row r="475" spans="1:20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</row>
    <row r="476" spans="1:20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</row>
    <row r="477" spans="1:20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</row>
    <row r="478" spans="1:20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</row>
    <row r="479" spans="1:20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</row>
    <row r="480" spans="1:20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</row>
    <row r="481" spans="1:20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</row>
    <row r="482" spans="1:20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</row>
    <row r="483" spans="1:20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</row>
    <row r="484" spans="1:20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</row>
    <row r="485" spans="1:20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</row>
    <row r="486" spans="1:20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</row>
    <row r="487" spans="1:20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</row>
    <row r="488" spans="1:20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</row>
    <row r="489" spans="1:20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</row>
    <row r="490" spans="1:20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</row>
    <row r="491" spans="1:20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</row>
    <row r="492" spans="1:20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</row>
    <row r="493" spans="1:20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</row>
    <row r="494" spans="1:20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</row>
    <row r="495" spans="1:20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</row>
    <row r="496" spans="1:20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</row>
    <row r="497" spans="1:20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</row>
    <row r="498" spans="1:20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</row>
    <row r="499" spans="1:20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</row>
    <row r="500" spans="1:20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</row>
    <row r="501" spans="1:20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</row>
    <row r="502" spans="1:20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</row>
    <row r="503" spans="1:20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</row>
    <row r="504" spans="1:20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</row>
    <row r="505" spans="1:20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</row>
    <row r="506" spans="1:20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</row>
    <row r="507" spans="1:20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</row>
    <row r="508" spans="1:20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</row>
    <row r="509" spans="1:20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</row>
    <row r="510" spans="1:20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</row>
    <row r="511" spans="1:20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</row>
    <row r="512" spans="1:20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</row>
    <row r="513" spans="1:20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</row>
    <row r="514" spans="1:20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</row>
    <row r="515" spans="1:20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</row>
    <row r="516" spans="1:20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</row>
    <row r="517" spans="1:20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</row>
    <row r="518" spans="1:20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</row>
    <row r="519" spans="1:20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</row>
    <row r="520" spans="1:20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</row>
    <row r="521" spans="1:20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</row>
    <row r="522" spans="1:20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</row>
    <row r="523" spans="1:20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</row>
    <row r="524" spans="1:20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</row>
    <row r="525" spans="1:20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</row>
    <row r="526" spans="1:20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</row>
    <row r="527" spans="1:20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</row>
    <row r="528" spans="1:20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</row>
    <row r="529" spans="1:20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</row>
    <row r="530" spans="1:20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</row>
    <row r="531" spans="1:20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</row>
    <row r="532" spans="1:20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</row>
    <row r="533" spans="1:20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</row>
    <row r="534" spans="1:20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</row>
    <row r="535" spans="1:20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</row>
    <row r="536" spans="1:20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</row>
    <row r="537" spans="1:20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</row>
    <row r="538" spans="1:20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</row>
    <row r="539" spans="1:20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</row>
    <row r="540" spans="1:20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</row>
    <row r="541" spans="1:20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</row>
    <row r="542" spans="1:20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</row>
    <row r="543" spans="1:20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</row>
    <row r="544" spans="1:20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</row>
    <row r="545" spans="1:20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</row>
    <row r="546" spans="1:20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</row>
    <row r="547" spans="1:20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</row>
    <row r="548" spans="1:20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</row>
    <row r="549" spans="1:20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</row>
    <row r="550" spans="1:20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</row>
    <row r="551" spans="1:20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</row>
    <row r="552" spans="1:20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</row>
    <row r="553" spans="1:20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</row>
    <row r="554" spans="1:20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</row>
    <row r="555" spans="1:20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</row>
    <row r="556" spans="1:20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</row>
    <row r="557" spans="1:20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</row>
    <row r="558" spans="1:20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</row>
    <row r="559" spans="1:20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</row>
    <row r="560" spans="1:20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</row>
    <row r="561" spans="1:20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</row>
    <row r="562" spans="1:20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</row>
    <row r="563" spans="1:20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</row>
    <row r="564" spans="1:20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</row>
    <row r="565" spans="1:20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</row>
    <row r="566" spans="1:20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</row>
    <row r="567" spans="1:20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</row>
    <row r="568" spans="1:20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4"/>
    </row>
    <row r="569" spans="1:20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</row>
    <row r="570" spans="1:20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4"/>
    </row>
    <row r="571" spans="1:20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</row>
    <row r="572" spans="1:20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4"/>
    </row>
    <row r="573" spans="1:20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</row>
    <row r="574" spans="1:20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4"/>
    </row>
    <row r="575" spans="1:20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</row>
    <row r="576" spans="1:20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</row>
    <row r="577" spans="1:20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</row>
    <row r="578" spans="1:20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</row>
    <row r="579" spans="1:20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</row>
    <row r="580" spans="1:20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</row>
    <row r="581" spans="1:20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</row>
    <row r="582" spans="1:20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4"/>
    </row>
    <row r="583" spans="1:20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</row>
    <row r="584" spans="1:20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4"/>
    </row>
    <row r="585" spans="1:20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</row>
    <row r="586" spans="1:20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4"/>
    </row>
    <row r="587" spans="1:20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</row>
    <row r="588" spans="1:20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4"/>
    </row>
    <row r="589" spans="1:20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</row>
    <row r="590" spans="1:20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</row>
    <row r="591" spans="1:20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</row>
    <row r="592" spans="1:20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</row>
    <row r="593" spans="1:20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</row>
    <row r="594" spans="1:20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4"/>
    </row>
    <row r="595" spans="1:20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</row>
    <row r="596" spans="1:20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4"/>
    </row>
    <row r="597" spans="1:20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</row>
    <row r="598" spans="1:20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4"/>
    </row>
    <row r="599" spans="1:20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</row>
    <row r="600" spans="1:20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4"/>
    </row>
    <row r="601" spans="1:20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</row>
    <row r="602" spans="1:20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</row>
    <row r="603" spans="1:20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</row>
    <row r="604" spans="1:20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</row>
    <row r="605" spans="1:20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</row>
    <row r="606" spans="1:20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</row>
    <row r="607" spans="1:20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</row>
    <row r="608" spans="1:20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</row>
    <row r="609" spans="1:20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</row>
    <row r="610" spans="1:20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</row>
    <row r="611" spans="1:20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</row>
    <row r="612" spans="1:20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</row>
    <row r="613" spans="1:20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</row>
    <row r="614" spans="1:20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</row>
    <row r="615" spans="1:20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</row>
    <row r="616" spans="1:20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</row>
    <row r="617" spans="1:20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</row>
    <row r="618" spans="1:20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</row>
    <row r="619" spans="1:20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</row>
    <row r="620" spans="1:20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</row>
    <row r="621" spans="1:20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</row>
    <row r="622" spans="1:20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</row>
    <row r="623" spans="1:20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</row>
    <row r="624" spans="1:20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</row>
    <row r="625" spans="1:20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</row>
    <row r="626" spans="1:20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</row>
    <row r="627" spans="1:20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</row>
    <row r="628" spans="1:20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</row>
    <row r="629" spans="1:20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</row>
    <row r="630" spans="1:20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</row>
    <row r="631" spans="1:20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</row>
    <row r="632" spans="1:20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</row>
    <row r="633" spans="1:20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</row>
    <row r="634" spans="1:20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</row>
    <row r="635" spans="1:20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</row>
    <row r="636" spans="1:20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</row>
    <row r="637" spans="1:20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</row>
    <row r="638" spans="1:20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</row>
    <row r="639" spans="1:20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</row>
    <row r="640" spans="1:20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</row>
    <row r="641" spans="1:20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</row>
    <row r="642" spans="1:20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</row>
    <row r="643" spans="1:20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</row>
    <row r="644" spans="1:20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</row>
    <row r="645" spans="1:20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</row>
    <row r="646" spans="1:20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4"/>
    </row>
    <row r="647" spans="1:20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</row>
    <row r="648" spans="1:20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4"/>
    </row>
    <row r="649" spans="1:20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</row>
    <row r="650" spans="1:20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</row>
    <row r="651" spans="1:20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</row>
    <row r="652" spans="1:20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</row>
    <row r="653" spans="1:20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</row>
    <row r="654" spans="1:20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</row>
    <row r="655" spans="1:20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</row>
    <row r="656" spans="1:20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</row>
    <row r="657" spans="1:20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</row>
    <row r="658" spans="1:20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</row>
    <row r="659" spans="1:20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</row>
    <row r="660" spans="1:20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4"/>
    </row>
    <row r="661" spans="1:20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</row>
    <row r="662" spans="1:20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4"/>
    </row>
    <row r="663" spans="1:20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</row>
    <row r="664" spans="1:20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</row>
    <row r="665" spans="1:20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</row>
    <row r="666" spans="1:20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</row>
    <row r="667" spans="1:20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</row>
    <row r="668" spans="1:20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</row>
    <row r="669" spans="1:20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</row>
    <row r="670" spans="1:20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4"/>
    </row>
    <row r="671" spans="1:20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</row>
    <row r="672" spans="1:20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4"/>
    </row>
    <row r="673" spans="1:20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</row>
    <row r="674" spans="1:20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</row>
    <row r="675" spans="1:20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</row>
    <row r="676" spans="1:20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</row>
    <row r="677" spans="1:20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</row>
    <row r="678" spans="1:20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</row>
    <row r="679" spans="1:20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</row>
    <row r="680" spans="1:20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</row>
    <row r="681" spans="1:20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</row>
    <row r="682" spans="1:20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4"/>
    </row>
    <row r="683" spans="1:20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</row>
    <row r="684" spans="1:20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</row>
    <row r="685" spans="1:20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</row>
    <row r="686" spans="1:20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4"/>
    </row>
    <row r="687" spans="1:20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</row>
    <row r="688" spans="1:20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4"/>
    </row>
    <row r="689" spans="1:20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</row>
    <row r="690" spans="1:20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4"/>
    </row>
    <row r="691" spans="1:20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</row>
    <row r="692" spans="1:20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</row>
    <row r="693" spans="1:20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</row>
    <row r="694" spans="1:20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4"/>
    </row>
    <row r="695" spans="1:20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</row>
    <row r="696" spans="1:20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</row>
    <row r="697" spans="1:20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</row>
    <row r="698" spans="1:20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4"/>
    </row>
    <row r="699" spans="1:20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</row>
    <row r="700" spans="1:20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</row>
    <row r="701" spans="1:20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</row>
    <row r="702" spans="1:20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</row>
    <row r="703" spans="1:20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</row>
    <row r="704" spans="1:20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4"/>
    </row>
    <row r="705" spans="1:20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</row>
    <row r="706" spans="1:20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</row>
    <row r="707" spans="1:20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</row>
    <row r="708" spans="1:20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4"/>
    </row>
    <row r="709" spans="1:20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</row>
    <row r="710" spans="1:20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4"/>
    </row>
    <row r="711" spans="1:20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</row>
    <row r="712" spans="1:20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4"/>
    </row>
    <row r="713" spans="1:20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</row>
    <row r="714" spans="1:20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4"/>
    </row>
    <row r="715" spans="1:20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</row>
    <row r="716" spans="1:20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4"/>
    </row>
    <row r="717" spans="1:20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</row>
    <row r="718" spans="1:20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4"/>
    </row>
    <row r="719" spans="1:20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</row>
    <row r="720" spans="1:20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</row>
    <row r="721" spans="1:20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</row>
    <row r="722" spans="1:20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4"/>
    </row>
    <row r="723" spans="1:20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</row>
    <row r="724" spans="1:20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4"/>
    </row>
    <row r="725" spans="1:20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</row>
    <row r="726" spans="1:20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4"/>
    </row>
    <row r="727" spans="1:20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</row>
    <row r="728" spans="1:20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4"/>
    </row>
    <row r="729" spans="1:20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</row>
    <row r="730" spans="1:20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4"/>
    </row>
    <row r="731" spans="1:20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</row>
    <row r="732" spans="1:20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4"/>
    </row>
    <row r="733" spans="1:20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</row>
    <row r="734" spans="1:20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4"/>
    </row>
    <row r="735" spans="1:20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</row>
    <row r="736" spans="1:20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4"/>
    </row>
    <row r="737" spans="1:20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</row>
    <row r="738" spans="1:20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4"/>
    </row>
    <row r="739" spans="1:20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</row>
    <row r="740" spans="1:20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4"/>
    </row>
    <row r="741" spans="1:20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</row>
    <row r="742" spans="1:20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4"/>
    </row>
    <row r="743" spans="1:20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</row>
    <row r="744" spans="1:20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</row>
    <row r="745" spans="1:20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</row>
    <row r="746" spans="1:20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4"/>
    </row>
    <row r="747" spans="1:20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</row>
    <row r="748" spans="1:20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</row>
    <row r="749" spans="1:20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</row>
    <row r="750" spans="1:20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4"/>
    </row>
    <row r="751" spans="1:20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</row>
    <row r="752" spans="1:20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4"/>
    </row>
    <row r="753" spans="1:20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</row>
    <row r="754" spans="1:20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4"/>
    </row>
    <row r="755" spans="1:20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</row>
    <row r="756" spans="1:20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4"/>
    </row>
    <row r="757" spans="1:20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</row>
    <row r="758" spans="1:20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</row>
    <row r="759" spans="1:20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</row>
    <row r="760" spans="1:20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4"/>
    </row>
    <row r="761" spans="1:20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</row>
    <row r="762" spans="1:20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</row>
    <row r="763" spans="1:20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</row>
    <row r="764" spans="1:20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</row>
    <row r="765" spans="1:20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</row>
    <row r="766" spans="1:20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</row>
    <row r="767" spans="1:20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</row>
    <row r="768" spans="1:20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</row>
    <row r="769" spans="1:20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</row>
    <row r="770" spans="1:20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</row>
    <row r="771" spans="1:20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</row>
    <row r="772" spans="1:20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</row>
    <row r="773" spans="1:20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</row>
    <row r="774" spans="1:20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4"/>
    </row>
    <row r="775" spans="1:20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</row>
    <row r="776" spans="1:20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</row>
    <row r="777" spans="1:20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</row>
    <row r="778" spans="1:20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4"/>
    </row>
    <row r="779" spans="1:20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</row>
    <row r="780" spans="1:20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4"/>
    </row>
    <row r="781" spans="1:20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</row>
    <row r="782" spans="1:20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4"/>
    </row>
    <row r="783" spans="1:20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</row>
    <row r="784" spans="1:20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4"/>
    </row>
    <row r="785" spans="1:20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</row>
    <row r="786" spans="1:20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4"/>
    </row>
    <row r="787" spans="1:20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</row>
    <row r="788" spans="1:20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4"/>
    </row>
    <row r="789" spans="1:20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</row>
    <row r="790" spans="1:20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4"/>
    </row>
    <row r="791" spans="1:20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</row>
    <row r="792" spans="1:20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4"/>
    </row>
    <row r="793" spans="1:20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</row>
    <row r="794" spans="1:20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4"/>
    </row>
    <row r="795" spans="1:20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</row>
    <row r="796" spans="1:20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</row>
    <row r="797" spans="1:20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</row>
    <row r="798" spans="1:20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4"/>
    </row>
    <row r="799" spans="1:20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</row>
    <row r="800" spans="1:20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4"/>
    </row>
    <row r="801" spans="1:20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</row>
    <row r="802" spans="1:20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4"/>
    </row>
    <row r="803" spans="1:20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</row>
    <row r="804" spans="1:20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</row>
    <row r="805" spans="1:20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</row>
    <row r="806" spans="1:20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</row>
    <row r="807" spans="1:20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</row>
    <row r="808" spans="1:20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</row>
    <row r="809" spans="1:20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</row>
    <row r="810" spans="1:20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</row>
    <row r="811" spans="1:20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</row>
    <row r="812" spans="1:20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4"/>
    </row>
    <row r="813" spans="1:20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</row>
    <row r="814" spans="1:20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4"/>
    </row>
    <row r="815" spans="1:20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</row>
    <row r="816" spans="1:20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4"/>
    </row>
    <row r="817" spans="1:20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</row>
    <row r="818" spans="1:20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</row>
    <row r="819" spans="1:20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</row>
    <row r="820" spans="1:20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</row>
    <row r="821" spans="1:20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</row>
    <row r="822" spans="1:20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</row>
    <row r="823" spans="1:20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</row>
    <row r="824" spans="1:20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</row>
    <row r="825" spans="1:20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</row>
    <row r="826" spans="1:20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</row>
    <row r="827" spans="1:20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</row>
    <row r="828" spans="1:20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</row>
    <row r="829" spans="1:20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</row>
    <row r="830" spans="1:20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</row>
    <row r="831" spans="1:20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</row>
    <row r="832" spans="1:20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</row>
    <row r="833" spans="1:20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</row>
    <row r="834" spans="1:20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4"/>
    </row>
    <row r="835" spans="1:20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</row>
    <row r="836" spans="1:20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4"/>
    </row>
    <row r="837" spans="1:20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</row>
    <row r="838" spans="1:20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4"/>
    </row>
    <row r="839" spans="1:20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</row>
    <row r="840" spans="1:20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4"/>
    </row>
    <row r="841" spans="1:20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</row>
    <row r="842" spans="1:20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4"/>
    </row>
    <row r="843" spans="1:20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</row>
    <row r="844" spans="1:20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4"/>
    </row>
    <row r="845" spans="1:20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</row>
    <row r="846" spans="1:20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4"/>
    </row>
    <row r="847" spans="1:20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</row>
    <row r="848" spans="1:20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4"/>
    </row>
    <row r="849" spans="1:20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</row>
    <row r="850" spans="1:20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4"/>
    </row>
    <row r="851" spans="1:20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</row>
    <row r="852" spans="1:20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4"/>
    </row>
    <row r="853" spans="1:20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</row>
    <row r="854" spans="1:20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4"/>
    </row>
    <row r="855" spans="1:20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</row>
    <row r="856" spans="1:20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4"/>
    </row>
    <row r="857" spans="1:20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</row>
    <row r="858" spans="1:20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4"/>
    </row>
    <row r="859" spans="1:20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</row>
    <row r="860" spans="1:20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</row>
    <row r="861" spans="1:20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</row>
    <row r="862" spans="1:20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4"/>
    </row>
    <row r="863" spans="1:20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</row>
    <row r="864" spans="1:20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4"/>
    </row>
    <row r="865" spans="1:20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</row>
    <row r="866" spans="1:20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4"/>
    </row>
    <row r="867" spans="1:20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</row>
    <row r="868" spans="1:20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4"/>
    </row>
    <row r="869" spans="1:20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</row>
    <row r="870" spans="1:20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4"/>
    </row>
    <row r="871" spans="1:20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</row>
    <row r="872" spans="1:20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4"/>
    </row>
    <row r="873" spans="1:20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</row>
    <row r="874" spans="1:20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</row>
    <row r="875" spans="1:20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</row>
    <row r="876" spans="1:20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</row>
    <row r="877" spans="1:20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</row>
    <row r="878" spans="1:20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4"/>
    </row>
    <row r="879" spans="1:20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</row>
    <row r="880" spans="1:20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4"/>
    </row>
    <row r="881" spans="1:20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</row>
    <row r="882" spans="1:20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4"/>
    </row>
    <row r="883" spans="1:20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</row>
    <row r="884" spans="1:20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4"/>
    </row>
    <row r="885" spans="1:20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</row>
    <row r="886" spans="1:20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</row>
    <row r="887" spans="1:20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</row>
    <row r="888" spans="1:20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</row>
    <row r="889" spans="1:20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</row>
    <row r="890" spans="1:20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</row>
    <row r="891" spans="1:20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</row>
    <row r="892" spans="1:20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</row>
    <row r="893" spans="1:20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</row>
    <row r="894" spans="1:20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4"/>
    </row>
    <row r="895" spans="1:20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</row>
    <row r="896" spans="1:20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4"/>
    </row>
    <row r="897" spans="1:20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</row>
    <row r="898" spans="1:20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4"/>
    </row>
    <row r="899" spans="1:20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</row>
    <row r="900" spans="1:20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4"/>
    </row>
    <row r="901" spans="1:20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</row>
    <row r="902" spans="1:20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4"/>
    </row>
    <row r="903" spans="1:20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</row>
    <row r="904" spans="1:20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4"/>
    </row>
    <row r="905" spans="1:20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</row>
    <row r="906" spans="1:20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4"/>
    </row>
    <row r="907" spans="1:20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</row>
    <row r="908" spans="1:20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4"/>
    </row>
    <row r="909" spans="1:20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</row>
    <row r="910" spans="1:20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4"/>
    </row>
    <row r="911" spans="1:20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</row>
    <row r="912" spans="1:20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4"/>
    </row>
    <row r="913" spans="1:20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</row>
    <row r="914" spans="1:20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4"/>
    </row>
    <row r="915" spans="1:20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</row>
    <row r="916" spans="1:20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</row>
    <row r="917" spans="1:20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</row>
    <row r="918" spans="1:20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4"/>
    </row>
    <row r="919" spans="1:20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4"/>
    </row>
    <row r="920" spans="1:20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4"/>
    </row>
    <row r="921" spans="1:20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4"/>
    </row>
    <row r="922" spans="1:20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4"/>
    </row>
    <row r="923" spans="1:20">
      <c r="A923" s="174"/>
      <c r="B923" s="174"/>
      <c r="C923" s="174"/>
      <c r="D923" s="174"/>
      <c r="E923" s="174"/>
      <c r="F923" s="174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4"/>
    </row>
    <row r="924" spans="1:20">
      <c r="A924" s="174"/>
      <c r="B924" s="174"/>
      <c r="C924" s="174"/>
      <c r="D924" s="174"/>
      <c r="E924" s="174"/>
      <c r="F924" s="174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4"/>
    </row>
    <row r="925" spans="1:20">
      <c r="A925" s="174"/>
      <c r="B925" s="174"/>
      <c r="C925" s="174"/>
      <c r="D925" s="174"/>
      <c r="E925" s="174"/>
      <c r="F925" s="174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4"/>
    </row>
    <row r="926" spans="1:20">
      <c r="A926" s="174"/>
      <c r="B926" s="174"/>
      <c r="C926" s="174"/>
      <c r="D926" s="174"/>
      <c r="E926" s="174"/>
      <c r="F926" s="174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4"/>
    </row>
    <row r="927" spans="1:20">
      <c r="A927" s="174"/>
      <c r="B927" s="174"/>
      <c r="C927" s="174"/>
      <c r="D927" s="174"/>
      <c r="E927" s="174"/>
      <c r="F927" s="174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4"/>
    </row>
    <row r="928" spans="1:20">
      <c r="A928" s="174"/>
      <c r="B928" s="174"/>
      <c r="C928" s="174"/>
      <c r="D928" s="174"/>
      <c r="E928" s="174"/>
      <c r="F928" s="174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4"/>
    </row>
    <row r="929" spans="1:20">
      <c r="A929" s="174"/>
      <c r="B929" s="174"/>
      <c r="C929" s="174"/>
      <c r="D929" s="174"/>
      <c r="E929" s="174"/>
      <c r="F929" s="174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4"/>
    </row>
    <row r="930" spans="1:20">
      <c r="A930" s="174"/>
      <c r="B930" s="174"/>
      <c r="C930" s="174"/>
      <c r="D930" s="174"/>
      <c r="E930" s="174"/>
      <c r="F930" s="174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4"/>
    </row>
    <row r="931" spans="1:20">
      <c r="A931" s="174"/>
      <c r="B931" s="174"/>
      <c r="C931" s="174"/>
      <c r="D931" s="174"/>
      <c r="E931" s="174"/>
      <c r="F931" s="174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4"/>
    </row>
    <row r="932" spans="1:20">
      <c r="A932" s="174"/>
      <c r="B932" s="174"/>
      <c r="C932" s="174"/>
      <c r="D932" s="174"/>
      <c r="E932" s="174"/>
      <c r="F932" s="174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4"/>
    </row>
    <row r="933" spans="1:20">
      <c r="A933" s="174"/>
      <c r="B933" s="174"/>
      <c r="C933" s="174"/>
      <c r="D933" s="174"/>
      <c r="E933" s="174"/>
      <c r="F933" s="174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4"/>
    </row>
    <row r="934" spans="1:20">
      <c r="A934" s="174"/>
      <c r="B934" s="174"/>
      <c r="C934" s="174"/>
      <c r="D934" s="174"/>
      <c r="E934" s="174"/>
      <c r="F934" s="174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4"/>
    </row>
    <row r="935" spans="1:20">
      <c r="A935" s="174"/>
      <c r="B935" s="174"/>
      <c r="C935" s="174"/>
      <c r="D935" s="174"/>
      <c r="E935" s="174"/>
      <c r="F935" s="174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4"/>
    </row>
    <row r="936" spans="1:20">
      <c r="A936" s="174"/>
      <c r="B936" s="174"/>
      <c r="C936" s="174"/>
      <c r="D936" s="174"/>
      <c r="E936" s="174"/>
      <c r="F936" s="174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4"/>
    </row>
    <row r="937" spans="1:20">
      <c r="A937" s="174"/>
      <c r="B937" s="174"/>
      <c r="C937" s="174"/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4"/>
    </row>
    <row r="938" spans="1:20">
      <c r="A938" s="174"/>
      <c r="B938" s="174"/>
      <c r="C938" s="174"/>
      <c r="D938" s="174"/>
      <c r="E938" s="174"/>
      <c r="F938" s="174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4"/>
    </row>
    <row r="939" spans="1:20">
      <c r="A939" s="174"/>
      <c r="B939" s="174"/>
      <c r="C939" s="174"/>
      <c r="D939" s="174"/>
      <c r="E939" s="174"/>
      <c r="F939" s="174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4"/>
    </row>
    <row r="940" spans="1:20">
      <c r="A940" s="174"/>
      <c r="B940" s="174"/>
      <c r="C940" s="174"/>
      <c r="D940" s="174"/>
      <c r="E940" s="174"/>
      <c r="F940" s="174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4"/>
    </row>
    <row r="941" spans="1:20">
      <c r="A941" s="174"/>
      <c r="B941" s="174"/>
      <c r="C941" s="174"/>
      <c r="D941" s="174"/>
      <c r="E941" s="174"/>
      <c r="F941" s="174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4"/>
    </row>
    <row r="942" spans="1:20">
      <c r="A942" s="174"/>
      <c r="B942" s="174"/>
      <c r="C942" s="174"/>
      <c r="D942" s="174"/>
      <c r="E942" s="174"/>
      <c r="F942" s="174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4"/>
    </row>
    <row r="943" spans="1:20">
      <c r="A943" s="174"/>
      <c r="B943" s="174"/>
      <c r="C943" s="174"/>
      <c r="D943" s="174"/>
      <c r="E943" s="174"/>
      <c r="F943" s="174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4"/>
    </row>
    <row r="944" spans="1:20">
      <c r="A944" s="174"/>
      <c r="B944" s="174"/>
      <c r="C944" s="174"/>
      <c r="D944" s="174"/>
      <c r="E944" s="174"/>
      <c r="F944" s="174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4"/>
    </row>
    <row r="945" spans="1:20">
      <c r="A945" s="174"/>
      <c r="B945" s="174"/>
      <c r="C945" s="174"/>
      <c r="D945" s="174"/>
      <c r="E945" s="174"/>
      <c r="F945" s="174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4"/>
    </row>
    <row r="946" spans="1:20">
      <c r="A946" s="174"/>
      <c r="B946" s="174"/>
      <c r="C946" s="174"/>
      <c r="D946" s="174"/>
      <c r="E946" s="174"/>
      <c r="F946" s="174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4"/>
    </row>
    <row r="947" spans="1:20">
      <c r="A947" s="174"/>
      <c r="B947" s="174"/>
      <c r="C947" s="174"/>
      <c r="D947" s="174"/>
      <c r="E947" s="174"/>
      <c r="F947" s="174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4"/>
    </row>
    <row r="948" spans="1:20">
      <c r="A948" s="174"/>
      <c r="B948" s="174"/>
      <c r="C948" s="174"/>
      <c r="D948" s="174"/>
      <c r="E948" s="174"/>
      <c r="F948" s="174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4"/>
    </row>
    <row r="949" spans="1:20">
      <c r="A949" s="174"/>
      <c r="B949" s="174"/>
      <c r="C949" s="174"/>
      <c r="D949" s="174"/>
      <c r="E949" s="174"/>
      <c r="F949" s="174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4"/>
    </row>
    <row r="950" spans="1:20">
      <c r="A950" s="174"/>
      <c r="B950" s="174"/>
      <c r="C950" s="174"/>
      <c r="D950" s="174"/>
      <c r="E950" s="174"/>
      <c r="F950" s="174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4"/>
    </row>
    <row r="951" spans="1:20">
      <c r="A951" s="174"/>
      <c r="B951" s="174"/>
      <c r="C951" s="174"/>
      <c r="D951" s="174"/>
      <c r="E951" s="174"/>
      <c r="F951" s="174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4"/>
    </row>
    <row r="952" spans="1:20">
      <c r="A952" s="174"/>
      <c r="B952" s="174"/>
      <c r="C952" s="174"/>
      <c r="D952" s="174"/>
      <c r="E952" s="174"/>
      <c r="F952" s="174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4"/>
    </row>
    <row r="953" spans="1:20">
      <c r="A953" s="174"/>
      <c r="B953" s="174"/>
      <c r="C953" s="174"/>
      <c r="D953" s="174"/>
      <c r="E953" s="174"/>
      <c r="F953" s="174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4"/>
    </row>
    <row r="954" spans="1:20">
      <c r="A954" s="174"/>
      <c r="B954" s="174"/>
      <c r="C954" s="174"/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4"/>
    </row>
    <row r="955" spans="1:20">
      <c r="A955" s="174"/>
      <c r="B955" s="174"/>
      <c r="C955" s="174"/>
      <c r="D955" s="174"/>
      <c r="E955" s="174"/>
      <c r="F955" s="174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4"/>
    </row>
    <row r="956" spans="1:20">
      <c r="A956" s="174"/>
      <c r="B956" s="174"/>
      <c r="C956" s="174"/>
      <c r="D956" s="174"/>
      <c r="E956" s="174"/>
      <c r="F956" s="174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4"/>
    </row>
    <row r="957" spans="1:20">
      <c r="A957" s="174"/>
      <c r="B957" s="174"/>
      <c r="C957" s="174"/>
      <c r="D957" s="174"/>
      <c r="E957" s="174"/>
      <c r="F957" s="174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4"/>
    </row>
    <row r="958" spans="1:20">
      <c r="A958" s="174"/>
      <c r="B958" s="174"/>
      <c r="C958" s="174"/>
      <c r="D958" s="174"/>
      <c r="E958" s="174"/>
      <c r="F958" s="174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4"/>
    </row>
    <row r="959" spans="1:20">
      <c r="A959" s="174"/>
      <c r="B959" s="174"/>
      <c r="C959" s="174"/>
      <c r="D959" s="174"/>
      <c r="E959" s="174"/>
      <c r="F959" s="174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4"/>
    </row>
    <row r="960" spans="1:20">
      <c r="A960" s="174"/>
      <c r="B960" s="174"/>
      <c r="C960" s="174"/>
      <c r="D960" s="174"/>
      <c r="E960" s="174"/>
      <c r="F960" s="174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4"/>
    </row>
    <row r="961" spans="1:20">
      <c r="A961" s="174"/>
      <c r="B961" s="174"/>
      <c r="C961" s="174"/>
      <c r="D961" s="174"/>
      <c r="E961" s="174"/>
      <c r="F961" s="174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4"/>
    </row>
    <row r="962" spans="1:20">
      <c r="A962" s="174"/>
      <c r="B962" s="174"/>
      <c r="C962" s="174"/>
      <c r="D962" s="174"/>
      <c r="E962" s="174"/>
      <c r="F962" s="174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4"/>
    </row>
    <row r="963" spans="1:20">
      <c r="A963" s="17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</row>
    <row r="964" spans="1:20">
      <c r="A964" s="174"/>
      <c r="B964" s="174"/>
      <c r="C964" s="174"/>
      <c r="D964" s="174"/>
      <c r="E964" s="174"/>
      <c r="F964" s="174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4"/>
    </row>
    <row r="965" spans="1:20">
      <c r="A965" s="174"/>
      <c r="B965" s="174"/>
      <c r="C965" s="174"/>
      <c r="D965" s="174"/>
      <c r="E965" s="174"/>
      <c r="F965" s="174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4"/>
    </row>
    <row r="966" spans="1:20">
      <c r="A966" s="174"/>
      <c r="B966" s="174"/>
      <c r="C966" s="174"/>
      <c r="D966" s="174"/>
      <c r="E966" s="174"/>
      <c r="F966" s="174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4"/>
    </row>
    <row r="967" spans="1:20">
      <c r="A967" s="174"/>
      <c r="B967" s="174"/>
      <c r="C967" s="174"/>
      <c r="D967" s="174"/>
      <c r="E967" s="174"/>
      <c r="F967" s="174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4"/>
    </row>
    <row r="968" spans="1:20">
      <c r="A968" s="174"/>
      <c r="B968" s="174"/>
      <c r="C968" s="174"/>
      <c r="D968" s="174"/>
      <c r="E968" s="174"/>
      <c r="F968" s="174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4"/>
    </row>
    <row r="969" spans="1:20">
      <c r="A969" s="174"/>
      <c r="B969" s="174"/>
      <c r="C969" s="174"/>
      <c r="D969" s="174"/>
      <c r="E969" s="174"/>
      <c r="F969" s="174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4"/>
    </row>
    <row r="970" spans="1:20">
      <c r="A970" s="174"/>
      <c r="B970" s="174"/>
      <c r="C970" s="174"/>
      <c r="D970" s="174"/>
      <c r="E970" s="174"/>
      <c r="F970" s="174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4"/>
    </row>
    <row r="971" spans="1:20">
      <c r="A971" s="174"/>
      <c r="B971" s="174"/>
      <c r="C971" s="174"/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4"/>
    </row>
    <row r="972" spans="1:20">
      <c r="A972" s="174"/>
      <c r="B972" s="174"/>
      <c r="C972" s="174"/>
      <c r="D972" s="174"/>
      <c r="E972" s="174"/>
      <c r="F972" s="174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4"/>
    </row>
    <row r="973" spans="1:20">
      <c r="A973" s="174"/>
      <c r="B973" s="174"/>
      <c r="C973" s="174"/>
      <c r="D973" s="174"/>
      <c r="E973" s="174"/>
      <c r="F973" s="174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4"/>
    </row>
    <row r="974" spans="1:20">
      <c r="A974" s="174"/>
      <c r="B974" s="174"/>
      <c r="C974" s="174"/>
      <c r="D974" s="174"/>
      <c r="E974" s="174"/>
      <c r="F974" s="174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4"/>
    </row>
    <row r="975" spans="1:20">
      <c r="A975" s="174"/>
      <c r="B975" s="174"/>
      <c r="C975" s="174"/>
      <c r="D975" s="174"/>
      <c r="E975" s="174"/>
      <c r="F975" s="174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4"/>
    </row>
    <row r="976" spans="1:20">
      <c r="A976" s="174"/>
      <c r="B976" s="174"/>
      <c r="C976" s="174"/>
      <c r="D976" s="174"/>
      <c r="E976" s="174"/>
      <c r="F976" s="174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4"/>
    </row>
    <row r="977" spans="1:20">
      <c r="A977" s="174"/>
      <c r="B977" s="174"/>
      <c r="C977" s="174"/>
      <c r="D977" s="174"/>
      <c r="E977" s="174"/>
      <c r="F977" s="174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Y1000"/>
  <sheetViews>
    <sheetView showGridLines="0" workbookViewId="0"/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27.81640625" customWidth="1"/>
    <col min="4" max="4" width="18.26953125" customWidth="1"/>
    <col min="5" max="8" width="19.26953125" customWidth="1"/>
    <col min="9" max="25" width="12.26953125" customWidth="1"/>
  </cols>
  <sheetData>
    <row r="1" spans="1:25" ht="13.5" customHeight="1">
      <c r="A1" s="1"/>
      <c r="B1" s="2"/>
      <c r="C1" s="75"/>
      <c r="D1" s="207"/>
      <c r="E1" s="207"/>
      <c r="F1" s="207"/>
      <c r="G1" s="207"/>
      <c r="H1" s="207"/>
      <c r="I1" s="75"/>
      <c r="J1" s="75"/>
      <c r="K1" s="75"/>
      <c r="L1" s="75"/>
      <c r="M1" s="75"/>
      <c r="N1" s="75"/>
      <c r="O1" s="75"/>
    </row>
    <row r="2" spans="1:25" ht="13.5" customHeight="1">
      <c r="A2" s="1"/>
      <c r="B2" s="2"/>
      <c r="C2" s="373" t="s">
        <v>193</v>
      </c>
      <c r="D2" s="341"/>
      <c r="E2" s="341"/>
      <c r="F2" s="341"/>
      <c r="G2" s="341"/>
      <c r="H2" s="341"/>
      <c r="I2" s="75"/>
      <c r="J2" s="75"/>
      <c r="K2" s="75"/>
      <c r="L2" s="75"/>
      <c r="M2" s="75"/>
      <c r="N2" s="75"/>
      <c r="O2" s="75"/>
    </row>
    <row r="3" spans="1:25" ht="13.5" customHeight="1">
      <c r="A3" s="1"/>
      <c r="B3" s="2"/>
      <c r="C3" s="341"/>
      <c r="D3" s="341"/>
      <c r="E3" s="341"/>
      <c r="F3" s="341"/>
      <c r="G3" s="341"/>
      <c r="H3" s="341"/>
      <c r="I3" s="75"/>
      <c r="J3" s="75"/>
      <c r="K3" s="75"/>
      <c r="L3" s="75"/>
      <c r="M3" s="75"/>
      <c r="N3" s="75"/>
      <c r="O3" s="75"/>
    </row>
    <row r="4" spans="1:25" ht="13.5" customHeight="1">
      <c r="A4" s="1"/>
      <c r="B4" s="2"/>
      <c r="C4" s="341"/>
      <c r="D4" s="341"/>
      <c r="E4" s="341"/>
      <c r="F4" s="341"/>
      <c r="G4" s="341"/>
      <c r="H4" s="341"/>
      <c r="I4" s="75"/>
      <c r="J4" s="75"/>
      <c r="K4" s="75"/>
      <c r="L4" s="75"/>
      <c r="M4" s="75"/>
      <c r="N4" s="75"/>
      <c r="O4" s="75"/>
    </row>
    <row r="5" spans="1:25" ht="13.5" customHeight="1">
      <c r="A5" s="1"/>
      <c r="B5" s="2"/>
      <c r="C5" s="208"/>
      <c r="I5" s="75"/>
      <c r="J5" s="75"/>
      <c r="K5" s="75"/>
      <c r="L5" s="75"/>
      <c r="M5" s="75"/>
      <c r="N5" s="75"/>
      <c r="O5" s="75"/>
    </row>
    <row r="6" spans="1:25" ht="13.5" customHeight="1">
      <c r="A6" s="1"/>
      <c r="B6" s="2"/>
      <c r="C6" s="75"/>
      <c r="D6" s="209">
        <f>OPEX!F5</f>
        <v>2021</v>
      </c>
      <c r="E6" s="209">
        <f>OPEX!G5</f>
        <v>2022</v>
      </c>
      <c r="F6" s="209">
        <f>OPEX!H5</f>
        <v>2023</v>
      </c>
      <c r="G6" s="209">
        <f>OPEX!I5</f>
        <v>2024</v>
      </c>
      <c r="H6" s="209">
        <f>OPEX!J5</f>
        <v>2025</v>
      </c>
      <c r="I6" s="75"/>
      <c r="J6" s="75"/>
      <c r="K6" s="75"/>
      <c r="L6" s="75"/>
      <c r="M6" s="75"/>
      <c r="N6" s="75"/>
      <c r="O6" s="75"/>
    </row>
    <row r="7" spans="1:25" ht="13.5" customHeight="1">
      <c r="A7" s="1"/>
      <c r="B7" s="2"/>
      <c r="C7" s="210" t="s">
        <v>250</v>
      </c>
      <c r="D7" s="211"/>
      <c r="E7" s="211"/>
      <c r="F7" s="211"/>
      <c r="G7" s="211"/>
      <c r="H7" s="211"/>
      <c r="I7" s="75"/>
      <c r="J7" s="75"/>
      <c r="K7" s="75"/>
      <c r="L7" s="75"/>
      <c r="M7" s="75"/>
      <c r="N7" s="75"/>
      <c r="O7" s="75"/>
    </row>
    <row r="8" spans="1:25" ht="13.5" customHeight="1">
      <c r="A8" s="1"/>
      <c r="B8" s="2"/>
      <c r="C8" s="75"/>
      <c r="D8" s="207"/>
      <c r="E8" s="207"/>
      <c r="F8" s="207"/>
      <c r="G8" s="207"/>
      <c r="H8" s="207"/>
      <c r="I8" s="75"/>
      <c r="J8" s="75"/>
      <c r="K8" s="75"/>
      <c r="L8" s="75"/>
      <c r="M8" s="75"/>
      <c r="N8" s="75"/>
      <c r="O8" s="75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22.5" customHeight="1">
      <c r="A9" s="1"/>
      <c r="B9" s="2"/>
      <c r="C9" s="212" t="s">
        <v>251</v>
      </c>
      <c r="D9" s="213">
        <f>OPEX!F23</f>
        <v>78475000</v>
      </c>
      <c r="E9" s="213">
        <f>OPEX!G23</f>
        <v>86158250</v>
      </c>
      <c r="F9" s="213">
        <f>OPEX!H23</f>
        <v>94769147.5</v>
      </c>
      <c r="G9" s="213">
        <f>OPEX!I23</f>
        <v>104429874.425</v>
      </c>
      <c r="H9" s="213">
        <f>OPEX!J23</f>
        <v>115279409.03275001</v>
      </c>
      <c r="I9" s="75"/>
      <c r="J9" s="75"/>
      <c r="K9" s="75"/>
      <c r="L9" s="75"/>
      <c r="M9" s="75"/>
      <c r="N9" s="75"/>
      <c r="O9" s="75"/>
    </row>
    <row r="10" spans="1:25" ht="22.5" customHeight="1">
      <c r="A10" s="1"/>
      <c r="B10" s="2"/>
      <c r="C10" s="9" t="s">
        <v>252</v>
      </c>
      <c r="D10" s="214">
        <f>OPEX!F25</f>
        <v>24000000</v>
      </c>
      <c r="E10" s="214">
        <f>OPEX!G25</f>
        <v>24720000</v>
      </c>
      <c r="F10" s="214">
        <f>OPEX!H25</f>
        <v>25461600</v>
      </c>
      <c r="G10" s="214">
        <f>OPEX!I25</f>
        <v>26225448</v>
      </c>
      <c r="H10" s="214">
        <f>OPEX!J25</f>
        <v>27012211.440000001</v>
      </c>
      <c r="I10" s="75"/>
      <c r="J10" s="75"/>
      <c r="K10" s="75"/>
      <c r="L10" s="75"/>
      <c r="M10" s="75"/>
      <c r="N10" s="75"/>
      <c r="O10" s="75"/>
    </row>
    <row r="11" spans="1:25" ht="22.5" customHeight="1">
      <c r="A11" s="1"/>
      <c r="B11" s="2"/>
      <c r="C11" s="9" t="s">
        <v>253</v>
      </c>
      <c r="D11" s="214">
        <f>OPEX!F26+OPEX!F33+OPEX!F43+OPEX!F44+OPEX!F45+OPEX!F46+OPEX!F47</f>
        <v>30239600</v>
      </c>
      <c r="E11" s="214">
        <f>OPEX!G26+OPEX!G33+OPEX!G43+OPEX!G44+OPEX!G45+OPEX!G46+OPEX!G47</f>
        <v>30747680</v>
      </c>
      <c r="F11" s="214">
        <f>OPEX!H26+OPEX!H33+OPEX!H43+OPEX!H44+OPEX!H45+OPEX!H46+OPEX!H47</f>
        <v>31265602.399999999</v>
      </c>
      <c r="G11" s="214">
        <f>OPEX!I26+OPEX!I33+OPEX!I43+OPEX!I44+OPEX!I45+OPEX!I46+OPEX!I47</f>
        <v>31793578.471999999</v>
      </c>
      <c r="H11" s="214">
        <f>OPEX!J26+OPEX!J33+OPEX!J43+OPEX!J44+OPEX!J45+OPEX!J46+OPEX!J47</f>
        <v>32331824.386159997</v>
      </c>
      <c r="I11" s="75"/>
      <c r="J11" s="75"/>
      <c r="K11" s="75"/>
      <c r="L11" s="75"/>
      <c r="M11" s="75"/>
      <c r="N11" s="75"/>
      <c r="O11" s="207"/>
    </row>
    <row r="12" spans="1:25" ht="22.5" customHeight="1">
      <c r="A12" s="1"/>
      <c r="B12" s="2"/>
      <c r="C12" s="212" t="s">
        <v>198</v>
      </c>
      <c r="D12" s="213">
        <f t="shared" ref="D12:H12" si="0">D9-D10-D11</f>
        <v>24235400</v>
      </c>
      <c r="E12" s="213">
        <f t="shared" si="0"/>
        <v>30690570</v>
      </c>
      <c r="F12" s="213">
        <f t="shared" si="0"/>
        <v>38041945.100000001</v>
      </c>
      <c r="G12" s="213">
        <f t="shared" si="0"/>
        <v>46410847.952999994</v>
      </c>
      <c r="H12" s="213">
        <f t="shared" si="0"/>
        <v>55935373.206590012</v>
      </c>
      <c r="I12" s="75"/>
      <c r="J12" s="75"/>
      <c r="K12" s="75"/>
      <c r="L12" s="75"/>
      <c r="M12" s="75"/>
      <c r="N12" s="75"/>
      <c r="O12" s="75"/>
    </row>
    <row r="13" spans="1:25" ht="22.5" customHeight="1">
      <c r="A13" s="1"/>
      <c r="B13" s="2"/>
      <c r="C13" s="9" t="s">
        <v>254</v>
      </c>
      <c r="D13" s="214">
        <f>OPEX!F49</f>
        <v>4230000</v>
      </c>
      <c r="E13" s="214">
        <f>OPEX!G49</f>
        <v>4230000</v>
      </c>
      <c r="F13" s="214">
        <f>OPEX!H49</f>
        <v>4230000</v>
      </c>
      <c r="G13" s="214">
        <f>OPEX!I49</f>
        <v>4230000</v>
      </c>
      <c r="H13" s="214">
        <f>OPEX!J49</f>
        <v>4230000</v>
      </c>
      <c r="I13" s="75"/>
      <c r="J13" s="75"/>
      <c r="K13" s="75"/>
      <c r="L13" s="75"/>
      <c r="M13" s="75"/>
      <c r="N13" s="75"/>
      <c r="O13" s="75"/>
    </row>
    <row r="14" spans="1:25" ht="22.5" customHeight="1">
      <c r="A14" s="1"/>
      <c r="B14" s="2"/>
      <c r="C14" s="212" t="s">
        <v>202</v>
      </c>
      <c r="D14" s="213">
        <f t="shared" ref="D14:H14" si="1">D12-D13</f>
        <v>20005400</v>
      </c>
      <c r="E14" s="213">
        <f t="shared" si="1"/>
        <v>26460570</v>
      </c>
      <c r="F14" s="213">
        <f t="shared" si="1"/>
        <v>33811945.100000001</v>
      </c>
      <c r="G14" s="213">
        <f t="shared" si="1"/>
        <v>42180847.952999994</v>
      </c>
      <c r="H14" s="213">
        <f t="shared" si="1"/>
        <v>51705373.206590012</v>
      </c>
      <c r="I14" s="75"/>
      <c r="J14" s="75"/>
      <c r="K14" s="75"/>
      <c r="L14" s="75"/>
      <c r="M14" s="75"/>
      <c r="N14" s="75"/>
      <c r="O14" s="75"/>
    </row>
    <row r="15" spans="1:25" ht="22.5" customHeight="1">
      <c r="A15" s="1"/>
      <c r="B15" s="2"/>
      <c r="C15" s="215" t="s">
        <v>255</v>
      </c>
      <c r="D15" s="214">
        <f>OPEX!F53</f>
        <v>6148649.5236855447</v>
      </c>
      <c r="E15" s="214">
        <f>OPEX!G53</f>
        <v>6705218.7267044876</v>
      </c>
      <c r="F15" s="214">
        <f>OPEX!H53</f>
        <v>7378644.1962187951</v>
      </c>
      <c r="G15" s="214">
        <f>OPEX!I53</f>
        <v>8194232.8003327046</v>
      </c>
      <c r="H15" s="214">
        <f>OPEX!J53</f>
        <v>9099971.4040225986</v>
      </c>
      <c r="I15" s="75"/>
      <c r="J15" s="75"/>
      <c r="K15" s="75"/>
      <c r="L15" s="75"/>
      <c r="M15" s="75"/>
      <c r="N15" s="75"/>
      <c r="O15" s="75"/>
    </row>
    <row r="16" spans="1:25" ht="22.5" customHeight="1">
      <c r="A16" s="1"/>
      <c r="B16" s="2"/>
      <c r="C16" s="216" t="s">
        <v>256</v>
      </c>
      <c r="D16" s="217">
        <f t="shared" ref="D16:H16" si="2">D14-D15</f>
        <v>13856750.476314455</v>
      </c>
      <c r="E16" s="217">
        <f t="shared" si="2"/>
        <v>19755351.273295514</v>
      </c>
      <c r="F16" s="217">
        <f t="shared" si="2"/>
        <v>26433300.903781205</v>
      </c>
      <c r="G16" s="217">
        <f t="shared" si="2"/>
        <v>33986615.152667291</v>
      </c>
      <c r="H16" s="217">
        <f t="shared" si="2"/>
        <v>42605401.802567415</v>
      </c>
      <c r="I16" s="75"/>
      <c r="J16" s="75"/>
      <c r="K16" s="75"/>
      <c r="L16" s="75"/>
      <c r="M16" s="75"/>
      <c r="N16" s="75"/>
      <c r="O16" s="75"/>
    </row>
    <row r="17" spans="1:25" ht="22.5" customHeight="1">
      <c r="A17" s="1"/>
      <c r="B17" s="2"/>
      <c r="C17" s="218" t="s">
        <v>205</v>
      </c>
      <c r="D17" s="214">
        <f>IF(D16&lt;0,500000,IF(D16*Taux_IS&lt;500000,500000,D16*Taux_IS))</f>
        <v>4157025.1428943365</v>
      </c>
      <c r="E17" s="214">
        <f>IF(E16&lt;0,500000,IF(E16*Taux_IS&lt;500000,500000,E16*Taux_IS))</f>
        <v>5926605.3819886539</v>
      </c>
      <c r="F17" s="214">
        <f>IF(F16&lt;0,500000,IF(F16*Taux_IS&lt;500000,500000,F16*Taux_IS))</f>
        <v>7929990.2711343616</v>
      </c>
      <c r="G17" s="214">
        <f>IF(G16&lt;0,500000,IF(G16*Taux_IS&lt;500000,500000,G16*Taux_IS))</f>
        <v>10195984.545800187</v>
      </c>
      <c r="H17" s="214">
        <f>IF(H16&lt;0,500000,IF(H16*Taux_IS&lt;500000,500000,H16*Taux_IS))</f>
        <v>12781620.540770223</v>
      </c>
      <c r="I17" s="75"/>
      <c r="J17" s="75"/>
      <c r="K17" s="75"/>
      <c r="L17" s="75"/>
      <c r="M17" s="75"/>
      <c r="N17" s="75"/>
      <c r="O17" s="75"/>
    </row>
    <row r="18" spans="1:25" ht="22.5" customHeight="1">
      <c r="A18" s="1"/>
      <c r="B18" s="2"/>
      <c r="C18" s="210" t="s">
        <v>206</v>
      </c>
      <c r="D18" s="219">
        <f t="shared" ref="D18:H18" si="3">D16-D17</f>
        <v>9699725.3334201183</v>
      </c>
      <c r="E18" s="219">
        <f t="shared" si="3"/>
        <v>13828745.89130686</v>
      </c>
      <c r="F18" s="219">
        <f t="shared" si="3"/>
        <v>18503310.632646844</v>
      </c>
      <c r="G18" s="219">
        <f t="shared" si="3"/>
        <v>23790630.606867105</v>
      </c>
      <c r="H18" s="219">
        <f t="shared" si="3"/>
        <v>29823781.26179719</v>
      </c>
      <c r="I18" s="75"/>
      <c r="J18" s="75"/>
      <c r="K18" s="75"/>
      <c r="L18" s="75"/>
      <c r="M18" s="75"/>
      <c r="N18" s="75"/>
      <c r="O18" s="75"/>
    </row>
    <row r="19" spans="1:25" ht="13.5" customHeight="1">
      <c r="A19" s="1"/>
      <c r="B19" s="2"/>
      <c r="C19" s="75"/>
      <c r="D19" s="207"/>
      <c r="E19" s="207"/>
      <c r="F19" s="207"/>
      <c r="G19" s="207"/>
      <c r="H19" s="207"/>
      <c r="I19" s="75"/>
      <c r="J19" s="75"/>
      <c r="K19" s="75"/>
      <c r="L19" s="75"/>
      <c r="M19" s="75"/>
      <c r="N19" s="75"/>
      <c r="O19" s="75"/>
    </row>
    <row r="20" spans="1:25" ht="13.5" customHeight="1">
      <c r="A20" s="1"/>
      <c r="B20" s="2"/>
      <c r="C20" s="75"/>
      <c r="D20" s="207"/>
      <c r="E20" s="207"/>
      <c r="F20" s="207"/>
      <c r="G20" s="207"/>
      <c r="H20" s="207"/>
      <c r="I20" s="75"/>
      <c r="J20" s="75"/>
      <c r="K20" s="75"/>
      <c r="L20" s="75"/>
      <c r="M20" s="75"/>
      <c r="N20" s="75"/>
      <c r="O20" s="75"/>
    </row>
    <row r="21" spans="1:25" ht="13.5" customHeight="1">
      <c r="A21" s="1"/>
      <c r="B21" s="2"/>
      <c r="C21" s="220"/>
      <c r="D21" s="221"/>
      <c r="E21" s="221"/>
      <c r="F21" s="221"/>
      <c r="G21" s="221"/>
      <c r="H21" s="221"/>
      <c r="I21" s="75"/>
      <c r="J21" s="75"/>
      <c r="K21" s="75"/>
      <c r="L21" s="75"/>
      <c r="M21" s="75"/>
      <c r="N21" s="75"/>
      <c r="O21" s="75"/>
    </row>
    <row r="22" spans="1:25" ht="13.5" customHeight="1">
      <c r="A22" s="1"/>
      <c r="B22" s="2"/>
      <c r="C22" s="75"/>
      <c r="D22" s="207"/>
      <c r="E22" s="207"/>
      <c r="F22" s="207"/>
      <c r="G22" s="207"/>
      <c r="H22" s="207"/>
      <c r="I22" s="75"/>
      <c r="J22" s="75"/>
      <c r="K22" s="75"/>
      <c r="L22" s="75"/>
      <c r="M22" s="75"/>
      <c r="N22" s="75"/>
      <c r="O22" s="75"/>
    </row>
    <row r="23" spans="1:25" ht="13.5" customHeight="1">
      <c r="A23" s="1"/>
      <c r="B23" s="2"/>
      <c r="C23" s="373" t="s">
        <v>257</v>
      </c>
      <c r="D23" s="341"/>
      <c r="E23" s="341"/>
      <c r="F23" s="341"/>
      <c r="G23" s="341"/>
      <c r="H23" s="341"/>
      <c r="I23" s="75"/>
      <c r="J23" s="75"/>
      <c r="K23" s="75"/>
      <c r="L23" s="75"/>
      <c r="M23" s="75"/>
      <c r="N23" s="75"/>
      <c r="O23" s="75"/>
    </row>
    <row r="24" spans="1:25" ht="13.5" customHeight="1">
      <c r="A24" s="1"/>
      <c r="B24" s="2"/>
      <c r="C24" s="341"/>
      <c r="D24" s="341"/>
      <c r="E24" s="341"/>
      <c r="F24" s="341"/>
      <c r="G24" s="341"/>
      <c r="H24" s="341"/>
      <c r="I24" s="75"/>
      <c r="J24" s="75"/>
      <c r="K24" s="75"/>
      <c r="L24" s="75"/>
      <c r="M24" s="75"/>
      <c r="N24" s="75"/>
      <c r="O24" s="75"/>
    </row>
    <row r="25" spans="1:25" ht="13.5" customHeight="1">
      <c r="A25" s="1"/>
      <c r="B25" s="2"/>
      <c r="C25" s="341"/>
      <c r="D25" s="341"/>
      <c r="E25" s="341"/>
      <c r="F25" s="341"/>
      <c r="G25" s="341"/>
      <c r="H25" s="341"/>
      <c r="I25" s="75"/>
      <c r="J25" s="75"/>
      <c r="K25" s="75"/>
      <c r="L25" s="75"/>
      <c r="M25" s="75"/>
      <c r="N25" s="75"/>
      <c r="O25" s="75"/>
    </row>
    <row r="26" spans="1:25" ht="13.5" customHeight="1">
      <c r="A26" s="1"/>
      <c r="B26" s="2"/>
      <c r="C26" s="95"/>
      <c r="D26" s="95"/>
      <c r="E26" s="95"/>
      <c r="F26" s="95"/>
      <c r="G26" s="95"/>
      <c r="H26" s="95"/>
      <c r="I26" s="75"/>
      <c r="J26" s="75"/>
      <c r="K26" s="75"/>
      <c r="L26" s="75"/>
      <c r="M26" s="75"/>
      <c r="N26" s="75"/>
      <c r="O26" s="75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ht="13.5" customHeight="1">
      <c r="A27" s="1"/>
      <c r="B27" s="2"/>
      <c r="C27" s="222" t="s">
        <v>258</v>
      </c>
      <c r="D27" s="223">
        <f>+Hypotheses!$F40</f>
        <v>0.85</v>
      </c>
      <c r="E27" s="223">
        <f>+Hypotheses!$F40</f>
        <v>0.85</v>
      </c>
      <c r="F27" s="223">
        <f>+Hypotheses!$F40</f>
        <v>0.85</v>
      </c>
      <c r="G27" s="223">
        <f>+Hypotheses!$F40</f>
        <v>0.85</v>
      </c>
      <c r="H27" s="223">
        <f>+Hypotheses!$F40</f>
        <v>0.85</v>
      </c>
      <c r="I27" s="75"/>
      <c r="J27" s="75"/>
      <c r="K27" s="75"/>
      <c r="L27" s="75"/>
      <c r="M27" s="75"/>
      <c r="N27" s="75"/>
      <c r="O27" s="75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t="13.5" customHeight="1">
      <c r="A28" s="1"/>
      <c r="B28" s="2"/>
      <c r="C28" s="208"/>
      <c r="D28" s="90"/>
      <c r="E28" s="90"/>
      <c r="F28" s="90"/>
      <c r="G28" s="90"/>
      <c r="H28" s="90"/>
      <c r="I28" s="75"/>
      <c r="J28" s="75"/>
      <c r="K28" s="75"/>
      <c r="L28" s="75"/>
      <c r="M28" s="75"/>
      <c r="N28" s="75"/>
      <c r="O28" s="75"/>
    </row>
    <row r="29" spans="1:25" ht="13.5" customHeight="1">
      <c r="A29" s="1"/>
      <c r="B29" s="2"/>
      <c r="C29" s="224" t="s">
        <v>163</v>
      </c>
      <c r="D29" s="224">
        <f t="shared" ref="D29:H29" si="4">D6</f>
        <v>2021</v>
      </c>
      <c r="E29" s="224">
        <f t="shared" si="4"/>
        <v>2022</v>
      </c>
      <c r="F29" s="224">
        <f t="shared" si="4"/>
        <v>2023</v>
      </c>
      <c r="G29" s="224">
        <f t="shared" si="4"/>
        <v>2024</v>
      </c>
      <c r="H29" s="224">
        <f t="shared" si="4"/>
        <v>2025</v>
      </c>
      <c r="I29" s="225"/>
      <c r="J29" s="225"/>
      <c r="K29" s="225"/>
      <c r="L29" s="225"/>
      <c r="M29" s="225"/>
      <c r="N29" s="225"/>
      <c r="O29" s="225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ht="13.5" customHeight="1">
      <c r="A30" s="1"/>
      <c r="B30" s="2"/>
      <c r="C30" s="210" t="s">
        <v>250</v>
      </c>
      <c r="D30" s="211"/>
      <c r="E30" s="211"/>
      <c r="F30" s="211"/>
      <c r="G30" s="211"/>
      <c r="H30" s="211"/>
      <c r="I30" s="225"/>
      <c r="J30" s="225"/>
      <c r="K30" s="225"/>
      <c r="L30" s="225"/>
      <c r="M30" s="225"/>
      <c r="N30" s="225"/>
      <c r="O30" s="225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ht="13.5" customHeight="1">
      <c r="A31" s="1"/>
      <c r="B31" s="2"/>
      <c r="C31" s="75"/>
      <c r="D31" s="207"/>
      <c r="E31" s="207"/>
      <c r="F31" s="207"/>
      <c r="G31" s="207"/>
      <c r="H31" s="207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ht="13.5" customHeight="1">
      <c r="A32" s="1"/>
      <c r="B32" s="2"/>
      <c r="C32" s="212" t="s">
        <v>251</v>
      </c>
      <c r="D32" s="213">
        <f t="shared" ref="D32:H32" si="5">D27*D9</f>
        <v>66703750</v>
      </c>
      <c r="E32" s="213">
        <f t="shared" si="5"/>
        <v>73234512.5</v>
      </c>
      <c r="F32" s="213">
        <f t="shared" si="5"/>
        <v>80553775.375</v>
      </c>
      <c r="G32" s="213">
        <f t="shared" si="5"/>
        <v>88765393.261249989</v>
      </c>
      <c r="H32" s="213">
        <f t="shared" si="5"/>
        <v>97987497.677837506</v>
      </c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ht="13.5" customHeight="1">
      <c r="A33" s="1"/>
      <c r="B33" s="2"/>
      <c r="C33" s="9" t="s">
        <v>252</v>
      </c>
      <c r="D33" s="214">
        <f t="shared" ref="D33:H33" si="6">D10</f>
        <v>24000000</v>
      </c>
      <c r="E33" s="214">
        <f t="shared" si="6"/>
        <v>24720000</v>
      </c>
      <c r="F33" s="214">
        <f t="shared" si="6"/>
        <v>25461600</v>
      </c>
      <c r="G33" s="214">
        <f t="shared" si="6"/>
        <v>26225448</v>
      </c>
      <c r="H33" s="214">
        <f t="shared" si="6"/>
        <v>27012211.440000001</v>
      </c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ht="13.5" customHeight="1">
      <c r="A34" s="1"/>
      <c r="B34" s="2"/>
      <c r="C34" s="9" t="s">
        <v>253</v>
      </c>
      <c r="D34" s="214">
        <f t="shared" ref="D34:H34" si="7">D11</f>
        <v>30239600</v>
      </c>
      <c r="E34" s="214">
        <f t="shared" si="7"/>
        <v>30747680</v>
      </c>
      <c r="F34" s="214">
        <f t="shared" si="7"/>
        <v>31265602.399999999</v>
      </c>
      <c r="G34" s="214">
        <f t="shared" si="7"/>
        <v>31793578.471999999</v>
      </c>
      <c r="H34" s="214">
        <f t="shared" si="7"/>
        <v>32331824.386159997</v>
      </c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ht="13.5" customHeight="1">
      <c r="A35" s="1"/>
      <c r="B35" s="2"/>
      <c r="C35" s="212" t="s">
        <v>198</v>
      </c>
      <c r="D35" s="213">
        <f t="shared" ref="D35:H35" si="8">D32-D33-D34</f>
        <v>12464150</v>
      </c>
      <c r="E35" s="213">
        <f t="shared" si="8"/>
        <v>17766832.5</v>
      </c>
      <c r="F35" s="213">
        <f t="shared" si="8"/>
        <v>23826572.975000001</v>
      </c>
      <c r="G35" s="213">
        <f t="shared" si="8"/>
        <v>30746366.78924999</v>
      </c>
      <c r="H35" s="213">
        <f t="shared" si="8"/>
        <v>38643461.851677507</v>
      </c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ht="13.5" customHeight="1">
      <c r="A36" s="1"/>
      <c r="B36" s="2"/>
      <c r="C36" s="9" t="s">
        <v>254</v>
      </c>
      <c r="D36" s="214">
        <f t="shared" ref="D36:H36" si="9">D13</f>
        <v>4230000</v>
      </c>
      <c r="E36" s="214">
        <f t="shared" si="9"/>
        <v>4230000</v>
      </c>
      <c r="F36" s="214">
        <f t="shared" si="9"/>
        <v>4230000</v>
      </c>
      <c r="G36" s="214">
        <f t="shared" si="9"/>
        <v>4230000</v>
      </c>
      <c r="H36" s="214">
        <f t="shared" si="9"/>
        <v>4230000</v>
      </c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ht="13.5" customHeight="1">
      <c r="A37" s="1"/>
      <c r="B37" s="2"/>
      <c r="C37" s="212" t="s">
        <v>202</v>
      </c>
      <c r="D37" s="213">
        <f t="shared" ref="D37:H37" si="10">D35-D36</f>
        <v>8234150</v>
      </c>
      <c r="E37" s="213">
        <f t="shared" si="10"/>
        <v>13536832.5</v>
      </c>
      <c r="F37" s="213">
        <f t="shared" si="10"/>
        <v>19596572.975000001</v>
      </c>
      <c r="G37" s="213">
        <f t="shared" si="10"/>
        <v>26516366.78924999</v>
      </c>
      <c r="H37" s="213">
        <f t="shared" si="10"/>
        <v>34413461.851677507</v>
      </c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ht="13.5" customHeight="1">
      <c r="A38" s="44"/>
      <c r="B38" s="45"/>
      <c r="C38" s="215" t="s">
        <v>255</v>
      </c>
      <c r="D38" s="214">
        <f t="shared" ref="D38:H38" si="11">D15</f>
        <v>6148649.5236855447</v>
      </c>
      <c r="E38" s="214">
        <f t="shared" si="11"/>
        <v>6705218.7267044876</v>
      </c>
      <c r="F38" s="214">
        <f t="shared" si="11"/>
        <v>7378644.1962187951</v>
      </c>
      <c r="G38" s="214">
        <f t="shared" si="11"/>
        <v>8194232.8003327046</v>
      </c>
      <c r="H38" s="214">
        <f t="shared" si="11"/>
        <v>9099971.4040225986</v>
      </c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ht="13.5" customHeight="1">
      <c r="A39" s="44"/>
      <c r="B39" s="45"/>
      <c r="C39" s="216" t="s">
        <v>256</v>
      </c>
      <c r="D39" s="217">
        <f t="shared" ref="D39:H39" si="12">D37-D38</f>
        <v>2085500.4763144553</v>
      </c>
      <c r="E39" s="217">
        <f t="shared" si="12"/>
        <v>6831613.7732955124</v>
      </c>
      <c r="F39" s="217">
        <f t="shared" si="12"/>
        <v>12217928.778781205</v>
      </c>
      <c r="G39" s="217">
        <f t="shared" si="12"/>
        <v>18322133.988917284</v>
      </c>
      <c r="H39" s="217">
        <f t="shared" si="12"/>
        <v>25313490.44765491</v>
      </c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ht="13.5" customHeight="1">
      <c r="A40" s="44"/>
      <c r="B40" s="45"/>
      <c r="C40" s="218" t="s">
        <v>205</v>
      </c>
      <c r="D40" s="214">
        <f t="shared" ref="D40:H40" si="13">D17</f>
        <v>4157025.1428943365</v>
      </c>
      <c r="E40" s="214">
        <f t="shared" si="13"/>
        <v>5926605.3819886539</v>
      </c>
      <c r="F40" s="214">
        <f t="shared" si="13"/>
        <v>7929990.2711343616</v>
      </c>
      <c r="G40" s="214">
        <f t="shared" si="13"/>
        <v>10195984.545800187</v>
      </c>
      <c r="H40" s="214">
        <f t="shared" si="13"/>
        <v>12781620.540770223</v>
      </c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ht="13.5" customHeight="1">
      <c r="A41" s="44"/>
      <c r="B41" s="45"/>
      <c r="C41" s="210" t="s">
        <v>206</v>
      </c>
      <c r="D41" s="219">
        <f t="shared" ref="D41:H41" si="14">D39-D40</f>
        <v>-2071524.6665798812</v>
      </c>
      <c r="E41" s="219">
        <f t="shared" si="14"/>
        <v>905008.39130685851</v>
      </c>
      <c r="F41" s="219">
        <f t="shared" si="14"/>
        <v>4287938.5076468438</v>
      </c>
      <c r="G41" s="219">
        <f t="shared" si="14"/>
        <v>8126149.443117097</v>
      </c>
      <c r="H41" s="219">
        <f t="shared" si="14"/>
        <v>12531869.906884687</v>
      </c>
      <c r="I41" s="225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ht="13.5" customHeight="1">
      <c r="A42" s="44"/>
      <c r="B42" s="45"/>
      <c r="C42" s="75"/>
      <c r="D42" s="207"/>
      <c r="E42" s="207"/>
      <c r="F42" s="207"/>
      <c r="G42" s="207"/>
      <c r="H42" s="207"/>
      <c r="I42" s="75"/>
      <c r="J42" s="75"/>
      <c r="K42" s="75"/>
      <c r="L42" s="75"/>
      <c r="M42" s="75"/>
      <c r="N42" s="75"/>
      <c r="O42" s="75"/>
    </row>
    <row r="43" spans="1:25" ht="13.5" customHeight="1">
      <c r="A43" s="44"/>
      <c r="B43" s="45"/>
      <c r="C43" s="75"/>
      <c r="D43" s="207"/>
      <c r="E43" s="207"/>
      <c r="F43" s="207"/>
      <c r="G43" s="207"/>
      <c r="H43" s="207"/>
      <c r="I43" s="75"/>
      <c r="J43" s="75"/>
      <c r="K43" s="75"/>
      <c r="L43" s="75"/>
      <c r="M43" s="75"/>
      <c r="N43" s="75"/>
      <c r="O43" s="75"/>
    </row>
    <row r="44" spans="1:25" ht="13.5" customHeight="1">
      <c r="A44" s="44"/>
      <c r="B44" s="45"/>
      <c r="C44" s="75"/>
      <c r="D44" s="207"/>
      <c r="E44" s="207"/>
      <c r="F44" s="207"/>
      <c r="G44" s="207"/>
      <c r="H44" s="207"/>
      <c r="I44" s="75"/>
      <c r="J44" s="75"/>
      <c r="K44" s="75"/>
      <c r="L44" s="75"/>
      <c r="M44" s="75"/>
      <c r="N44" s="75"/>
      <c r="O44" s="75"/>
    </row>
    <row r="45" spans="1:25" ht="13.5" customHeight="1">
      <c r="A45" s="44"/>
      <c r="B45" s="45"/>
      <c r="C45" s="75"/>
      <c r="D45" s="207"/>
      <c r="E45" s="207"/>
      <c r="F45" s="207"/>
      <c r="G45" s="207"/>
      <c r="H45" s="207"/>
      <c r="I45" s="75"/>
      <c r="J45" s="75"/>
      <c r="K45" s="75"/>
      <c r="L45" s="75"/>
      <c r="M45" s="75"/>
      <c r="N45" s="75"/>
      <c r="O45" s="75"/>
    </row>
    <row r="46" spans="1:25" ht="13.5" customHeight="1">
      <c r="A46" s="44"/>
      <c r="B46" s="45"/>
      <c r="C46" s="75"/>
      <c r="D46" s="207"/>
      <c r="E46" s="207"/>
      <c r="F46" s="207"/>
      <c r="G46" s="207"/>
      <c r="H46" s="207"/>
      <c r="I46" s="75"/>
      <c r="J46" s="75"/>
      <c r="K46" s="75"/>
      <c r="L46" s="75"/>
      <c r="M46" s="75"/>
      <c r="N46" s="75"/>
      <c r="O46" s="75"/>
    </row>
    <row r="47" spans="1:25" ht="13.5" customHeight="1">
      <c r="A47" s="44"/>
      <c r="B47" s="45"/>
      <c r="C47" s="75"/>
      <c r="D47" s="207"/>
      <c r="E47" s="207"/>
      <c r="F47" s="207"/>
      <c r="G47" s="207"/>
      <c r="H47" s="207"/>
      <c r="I47" s="75"/>
      <c r="J47" s="75"/>
      <c r="K47" s="75"/>
      <c r="L47" s="75"/>
      <c r="M47" s="75"/>
      <c r="N47" s="75"/>
      <c r="O47" s="75"/>
    </row>
    <row r="48" spans="1:25" ht="13.5" customHeight="1">
      <c r="A48" s="44"/>
      <c r="B48" s="45"/>
      <c r="C48" s="75"/>
      <c r="D48" s="207"/>
      <c r="E48" s="207"/>
      <c r="F48" s="207"/>
      <c r="G48" s="207"/>
      <c r="H48" s="207"/>
      <c r="I48" s="75"/>
      <c r="J48" s="75"/>
      <c r="K48" s="75"/>
      <c r="L48" s="75"/>
      <c r="M48" s="75"/>
      <c r="N48" s="75"/>
      <c r="O48" s="75"/>
    </row>
    <row r="49" spans="1:15" ht="13.5" customHeight="1">
      <c r="A49" s="44"/>
      <c r="B49" s="45"/>
      <c r="C49" s="75"/>
      <c r="D49" s="207"/>
      <c r="E49" s="207"/>
      <c r="F49" s="207"/>
      <c r="G49" s="207"/>
      <c r="H49" s="207"/>
      <c r="I49" s="75"/>
      <c r="J49" s="75"/>
      <c r="K49" s="75"/>
      <c r="L49" s="75"/>
      <c r="M49" s="75"/>
      <c r="N49" s="75"/>
      <c r="O49" s="75"/>
    </row>
    <row r="50" spans="1:15" ht="13.5" customHeight="1">
      <c r="A50" s="44"/>
      <c r="B50" s="45"/>
      <c r="C50" s="75"/>
      <c r="D50" s="207"/>
      <c r="E50" s="207"/>
      <c r="F50" s="207"/>
      <c r="G50" s="207"/>
      <c r="H50" s="207"/>
      <c r="I50" s="75"/>
      <c r="J50" s="75"/>
      <c r="K50" s="75"/>
      <c r="L50" s="75"/>
      <c r="M50" s="75"/>
      <c r="N50" s="75"/>
      <c r="O50" s="75"/>
    </row>
    <row r="51" spans="1:15" ht="13.5" customHeight="1">
      <c r="A51" s="44"/>
      <c r="B51" s="45"/>
      <c r="C51" s="75"/>
      <c r="D51" s="207"/>
      <c r="E51" s="207"/>
      <c r="F51" s="207"/>
      <c r="G51" s="207"/>
      <c r="H51" s="207"/>
      <c r="I51" s="75"/>
      <c r="J51" s="75"/>
      <c r="K51" s="75"/>
      <c r="L51" s="75"/>
      <c r="M51" s="75"/>
      <c r="N51" s="75"/>
      <c r="O51" s="75"/>
    </row>
    <row r="52" spans="1:15" ht="13.5" customHeight="1">
      <c r="A52" s="44"/>
      <c r="B52" s="45"/>
      <c r="C52" s="75"/>
      <c r="D52" s="207"/>
      <c r="E52" s="207"/>
      <c r="F52" s="207"/>
      <c r="G52" s="207"/>
      <c r="H52" s="207"/>
      <c r="I52" s="75"/>
      <c r="J52" s="75"/>
      <c r="K52" s="75"/>
      <c r="L52" s="75"/>
      <c r="M52" s="75"/>
      <c r="N52" s="75"/>
      <c r="O52" s="75"/>
    </row>
    <row r="53" spans="1:15" ht="13.5" customHeight="1">
      <c r="A53" s="44"/>
      <c r="B53" s="45"/>
      <c r="C53" s="75"/>
      <c r="D53" s="207"/>
      <c r="E53" s="207"/>
      <c r="F53" s="207"/>
      <c r="G53" s="207"/>
      <c r="H53" s="207"/>
      <c r="I53" s="75"/>
      <c r="J53" s="75"/>
      <c r="K53" s="75"/>
      <c r="L53" s="75"/>
      <c r="M53" s="75"/>
      <c r="N53" s="75"/>
      <c r="O53" s="75"/>
    </row>
    <row r="54" spans="1:15" ht="13.5" customHeight="1">
      <c r="A54" s="44"/>
      <c r="B54" s="45"/>
      <c r="C54" s="75"/>
      <c r="D54" s="207"/>
      <c r="E54" s="207"/>
      <c r="F54" s="207"/>
      <c r="G54" s="207"/>
      <c r="H54" s="207"/>
      <c r="I54" s="75"/>
      <c r="J54" s="75"/>
      <c r="K54" s="75"/>
      <c r="L54" s="75"/>
      <c r="M54" s="75"/>
      <c r="N54" s="75"/>
      <c r="O54" s="75"/>
    </row>
    <row r="55" spans="1:15" ht="13.5" customHeight="1">
      <c r="A55" s="44"/>
      <c r="B55" s="45"/>
      <c r="C55" s="75"/>
      <c r="D55" s="207"/>
      <c r="E55" s="207"/>
      <c r="F55" s="207"/>
      <c r="G55" s="207"/>
      <c r="H55" s="207"/>
      <c r="I55" s="75"/>
      <c r="J55" s="75"/>
      <c r="K55" s="75"/>
      <c r="L55" s="75"/>
      <c r="M55" s="75"/>
      <c r="N55" s="75"/>
      <c r="O55" s="75"/>
    </row>
    <row r="56" spans="1:15" ht="13.5" customHeight="1">
      <c r="A56" s="44"/>
      <c r="B56" s="45"/>
      <c r="C56" s="75"/>
      <c r="D56" s="207"/>
      <c r="E56" s="207"/>
      <c r="F56" s="207"/>
      <c r="G56" s="207"/>
      <c r="H56" s="207"/>
      <c r="I56" s="75"/>
      <c r="J56" s="75"/>
      <c r="K56" s="75"/>
      <c r="L56" s="75"/>
      <c r="M56" s="75"/>
      <c r="N56" s="75"/>
      <c r="O56" s="75"/>
    </row>
    <row r="57" spans="1:15" ht="13.5" customHeight="1">
      <c r="A57" s="44"/>
      <c r="B57" s="45"/>
      <c r="C57" s="75"/>
      <c r="D57" s="207"/>
      <c r="E57" s="207"/>
      <c r="F57" s="207"/>
      <c r="G57" s="207"/>
      <c r="H57" s="207"/>
      <c r="I57" s="75"/>
      <c r="J57" s="75"/>
      <c r="K57" s="75"/>
      <c r="L57" s="75"/>
      <c r="M57" s="75"/>
      <c r="N57" s="75"/>
      <c r="O57" s="75"/>
    </row>
    <row r="58" spans="1:15" ht="13.5" customHeight="1">
      <c r="A58" s="44"/>
      <c r="B58" s="45"/>
      <c r="C58" s="75"/>
      <c r="D58" s="207"/>
      <c r="E58" s="207"/>
      <c r="F58" s="207"/>
      <c r="G58" s="207"/>
      <c r="H58" s="207"/>
      <c r="I58" s="75"/>
      <c r="J58" s="75"/>
      <c r="K58" s="75"/>
      <c r="L58" s="75"/>
      <c r="M58" s="75"/>
      <c r="N58" s="75"/>
      <c r="O58" s="75"/>
    </row>
    <row r="59" spans="1:15" ht="13.5" customHeight="1">
      <c r="A59" s="44"/>
      <c r="B59" s="45"/>
      <c r="C59" s="75"/>
      <c r="D59" s="207"/>
      <c r="E59" s="207"/>
      <c r="F59" s="207"/>
      <c r="G59" s="207"/>
      <c r="H59" s="207"/>
      <c r="I59" s="75"/>
      <c r="J59" s="75"/>
      <c r="K59" s="75"/>
      <c r="L59" s="75"/>
      <c r="M59" s="75"/>
      <c r="N59" s="75"/>
      <c r="O59" s="75"/>
    </row>
    <row r="60" spans="1:15" ht="13.5" customHeight="1">
      <c r="A60" s="44"/>
      <c r="B60" s="45"/>
      <c r="C60" s="75"/>
      <c r="D60" s="207"/>
      <c r="E60" s="207"/>
      <c r="F60" s="207"/>
      <c r="G60" s="207"/>
      <c r="H60" s="207"/>
      <c r="I60" s="75"/>
      <c r="J60" s="75"/>
      <c r="K60" s="75"/>
      <c r="L60" s="75"/>
      <c r="M60" s="75"/>
      <c r="N60" s="75"/>
      <c r="O60" s="75"/>
    </row>
    <row r="61" spans="1:15" ht="13.5" customHeight="1">
      <c r="A61" s="44"/>
      <c r="B61" s="45"/>
      <c r="C61" s="75"/>
      <c r="D61" s="207"/>
      <c r="E61" s="207"/>
      <c r="F61" s="207"/>
      <c r="G61" s="207"/>
      <c r="H61" s="207"/>
      <c r="I61" s="75"/>
      <c r="J61" s="75"/>
      <c r="K61" s="75"/>
      <c r="L61" s="75"/>
      <c r="M61" s="75"/>
      <c r="N61" s="75"/>
      <c r="O61" s="75"/>
    </row>
    <row r="62" spans="1:15" ht="13.5" customHeight="1">
      <c r="A62" s="44"/>
      <c r="B62" s="45"/>
      <c r="C62" s="75"/>
      <c r="D62" s="207"/>
      <c r="E62" s="207"/>
      <c r="F62" s="207"/>
      <c r="G62" s="207"/>
      <c r="H62" s="207"/>
      <c r="I62" s="75"/>
      <c r="J62" s="75"/>
      <c r="K62" s="75"/>
      <c r="L62" s="75"/>
      <c r="M62" s="75"/>
      <c r="N62" s="75"/>
      <c r="O62" s="75"/>
    </row>
    <row r="63" spans="1:15" ht="13.5" customHeight="1">
      <c r="A63" s="44"/>
      <c r="B63" s="45"/>
      <c r="C63" s="75"/>
      <c r="D63" s="207"/>
      <c r="E63" s="207"/>
      <c r="F63" s="207"/>
      <c r="G63" s="207"/>
      <c r="H63" s="207"/>
      <c r="I63" s="75"/>
      <c r="J63" s="75"/>
      <c r="K63" s="75"/>
      <c r="L63" s="75"/>
      <c r="M63" s="75"/>
      <c r="N63" s="75"/>
      <c r="O63" s="75"/>
    </row>
    <row r="64" spans="1:15" ht="13.5" customHeight="1">
      <c r="A64" s="44"/>
      <c r="B64" s="45"/>
      <c r="C64" s="75"/>
      <c r="D64" s="207"/>
      <c r="E64" s="207"/>
      <c r="F64" s="207"/>
      <c r="G64" s="207"/>
      <c r="H64" s="207"/>
      <c r="I64" s="75"/>
      <c r="J64" s="75"/>
      <c r="K64" s="75"/>
      <c r="L64" s="75"/>
      <c r="M64" s="75"/>
      <c r="N64" s="75"/>
      <c r="O64" s="75"/>
    </row>
    <row r="65" spans="1:15" ht="13.5" customHeight="1">
      <c r="A65" s="44"/>
      <c r="B65" s="45"/>
      <c r="C65" s="75"/>
      <c r="D65" s="207"/>
      <c r="E65" s="207"/>
      <c r="F65" s="207"/>
      <c r="G65" s="207"/>
      <c r="H65" s="207"/>
      <c r="I65" s="75"/>
      <c r="J65" s="75"/>
      <c r="K65" s="75"/>
      <c r="L65" s="75"/>
      <c r="M65" s="75"/>
      <c r="N65" s="75"/>
      <c r="O65" s="75"/>
    </row>
    <row r="66" spans="1:15" ht="13.5" customHeight="1">
      <c r="A66" s="44"/>
      <c r="B66" s="45"/>
      <c r="C66" s="75"/>
      <c r="D66" s="207"/>
      <c r="E66" s="207"/>
      <c r="F66" s="207"/>
      <c r="G66" s="207"/>
      <c r="H66" s="207"/>
      <c r="I66" s="75"/>
      <c r="J66" s="75"/>
      <c r="K66" s="75"/>
      <c r="L66" s="75"/>
      <c r="M66" s="75"/>
      <c r="N66" s="75"/>
      <c r="O66" s="75"/>
    </row>
    <row r="67" spans="1:15" ht="13.5" customHeight="1">
      <c r="A67" s="44"/>
      <c r="B67" s="45"/>
      <c r="C67" s="75"/>
      <c r="D67" s="207"/>
      <c r="E67" s="207"/>
      <c r="F67" s="207"/>
      <c r="G67" s="207"/>
      <c r="H67" s="207"/>
      <c r="I67" s="75"/>
      <c r="J67" s="75"/>
      <c r="K67" s="75"/>
      <c r="L67" s="75"/>
      <c r="M67" s="75"/>
      <c r="N67" s="75"/>
      <c r="O67" s="75"/>
    </row>
    <row r="68" spans="1:15" ht="13.5" customHeight="1">
      <c r="A68" s="44"/>
      <c r="B68" s="45"/>
      <c r="C68" s="75"/>
      <c r="D68" s="207"/>
      <c r="E68" s="207"/>
      <c r="F68" s="207"/>
      <c r="G68" s="207"/>
      <c r="H68" s="207"/>
      <c r="I68" s="75"/>
      <c r="J68" s="75"/>
      <c r="K68" s="75"/>
      <c r="L68" s="75"/>
      <c r="M68" s="75"/>
      <c r="N68" s="75"/>
      <c r="O68" s="75"/>
    </row>
    <row r="69" spans="1:15" ht="13.5" customHeight="1">
      <c r="A69" s="44"/>
      <c r="B69" s="45"/>
      <c r="C69" s="75"/>
      <c r="D69" s="207"/>
      <c r="E69" s="207"/>
      <c r="F69" s="207"/>
      <c r="G69" s="207"/>
      <c r="H69" s="207"/>
      <c r="I69" s="75"/>
      <c r="J69" s="75"/>
      <c r="K69" s="75"/>
      <c r="L69" s="75"/>
      <c r="M69" s="75"/>
      <c r="N69" s="75"/>
      <c r="O69" s="75"/>
    </row>
    <row r="70" spans="1:15" ht="13.5" customHeight="1">
      <c r="A70" s="44"/>
      <c r="B70" s="45"/>
      <c r="C70" s="75"/>
      <c r="D70" s="207"/>
      <c r="E70" s="207"/>
      <c r="F70" s="207"/>
      <c r="G70" s="207"/>
      <c r="H70" s="207"/>
      <c r="I70" s="75"/>
      <c r="J70" s="75"/>
      <c r="K70" s="75"/>
      <c r="L70" s="75"/>
      <c r="M70" s="75"/>
      <c r="N70" s="75"/>
      <c r="O70" s="75"/>
    </row>
    <row r="71" spans="1:15" ht="13.5" customHeight="1">
      <c r="A71" s="44"/>
      <c r="B71" s="45"/>
      <c r="C71" s="75"/>
      <c r="D71" s="207"/>
      <c r="E71" s="207"/>
      <c r="F71" s="207"/>
      <c r="G71" s="207"/>
      <c r="H71" s="207"/>
      <c r="I71" s="75"/>
      <c r="J71" s="75"/>
      <c r="K71" s="75"/>
      <c r="L71" s="75"/>
      <c r="M71" s="75"/>
      <c r="N71" s="75"/>
      <c r="O71" s="75"/>
    </row>
    <row r="72" spans="1:15" ht="13.5" customHeight="1">
      <c r="A72" s="44"/>
      <c r="B72" s="45"/>
      <c r="C72" s="75"/>
      <c r="D72" s="207"/>
      <c r="E72" s="207"/>
      <c r="F72" s="207"/>
      <c r="G72" s="207"/>
      <c r="H72" s="207"/>
      <c r="I72" s="75"/>
      <c r="J72" s="75"/>
      <c r="K72" s="75"/>
      <c r="L72" s="75"/>
      <c r="M72" s="75"/>
      <c r="N72" s="75"/>
      <c r="O72" s="75"/>
    </row>
    <row r="73" spans="1:15" ht="13.5" customHeight="1">
      <c r="A73" s="44"/>
      <c r="B73" s="45"/>
      <c r="C73" s="75"/>
      <c r="D73" s="207"/>
      <c r="E73" s="207"/>
      <c r="F73" s="207"/>
      <c r="G73" s="207"/>
      <c r="H73" s="207"/>
      <c r="I73" s="75"/>
      <c r="J73" s="75"/>
      <c r="K73" s="75"/>
      <c r="L73" s="75"/>
      <c r="M73" s="75"/>
      <c r="N73" s="75"/>
      <c r="O73" s="75"/>
    </row>
    <row r="74" spans="1:15" ht="13.5" customHeight="1">
      <c r="A74" s="44"/>
      <c r="B74" s="45"/>
      <c r="C74" s="75"/>
      <c r="D74" s="207"/>
      <c r="E74" s="207"/>
      <c r="F74" s="207"/>
      <c r="G74" s="207"/>
      <c r="H74" s="207"/>
      <c r="I74" s="75"/>
      <c r="J74" s="75"/>
      <c r="K74" s="75"/>
      <c r="L74" s="75"/>
      <c r="M74" s="75"/>
      <c r="N74" s="75"/>
      <c r="O74" s="75"/>
    </row>
    <row r="75" spans="1:15" ht="13.5" customHeight="1">
      <c r="A75" s="44"/>
      <c r="B75" s="45"/>
      <c r="C75" s="75"/>
      <c r="D75" s="207"/>
      <c r="E75" s="207"/>
      <c r="F75" s="207"/>
      <c r="G75" s="207"/>
      <c r="H75" s="207"/>
      <c r="I75" s="75"/>
      <c r="J75" s="75"/>
      <c r="K75" s="75"/>
      <c r="L75" s="75"/>
      <c r="M75" s="75"/>
      <c r="N75" s="75"/>
      <c r="O75" s="75"/>
    </row>
    <row r="76" spans="1:15" ht="13.5" customHeight="1">
      <c r="A76" s="44"/>
      <c r="B76" s="45"/>
      <c r="C76" s="75"/>
      <c r="D76" s="207"/>
      <c r="E76" s="207"/>
      <c r="F76" s="207"/>
      <c r="G76" s="207"/>
      <c r="H76" s="207"/>
      <c r="I76" s="75"/>
      <c r="J76" s="75"/>
      <c r="K76" s="75"/>
      <c r="L76" s="75"/>
      <c r="M76" s="75"/>
      <c r="N76" s="75"/>
      <c r="O76" s="75"/>
    </row>
    <row r="77" spans="1:15" ht="13.5" customHeight="1">
      <c r="A77" s="44"/>
      <c r="B77" s="45"/>
      <c r="C77" s="75"/>
      <c r="D77" s="207"/>
      <c r="E77" s="207"/>
      <c r="F77" s="207"/>
      <c r="G77" s="207"/>
      <c r="H77" s="207"/>
      <c r="I77" s="75"/>
      <c r="J77" s="75"/>
      <c r="K77" s="75"/>
      <c r="L77" s="75"/>
      <c r="M77" s="75"/>
      <c r="N77" s="75"/>
      <c r="O77" s="75"/>
    </row>
    <row r="78" spans="1:15" ht="13.5" customHeight="1">
      <c r="A78" s="44"/>
      <c r="B78" s="45"/>
      <c r="C78" s="75"/>
      <c r="D78" s="207"/>
      <c r="E78" s="207"/>
      <c r="F78" s="207"/>
      <c r="G78" s="207"/>
      <c r="H78" s="207"/>
      <c r="I78" s="75"/>
      <c r="J78" s="75"/>
      <c r="K78" s="75"/>
      <c r="L78" s="75"/>
      <c r="M78" s="75"/>
      <c r="N78" s="75"/>
      <c r="O78" s="75"/>
    </row>
    <row r="79" spans="1:15" ht="13.5" customHeight="1">
      <c r="A79" s="44"/>
      <c r="B79" s="45"/>
      <c r="C79" s="75"/>
      <c r="D79" s="207"/>
      <c r="E79" s="207"/>
      <c r="F79" s="207"/>
      <c r="G79" s="207"/>
      <c r="H79" s="207"/>
      <c r="I79" s="75"/>
      <c r="J79" s="75"/>
      <c r="K79" s="75"/>
      <c r="L79" s="75"/>
      <c r="M79" s="75"/>
      <c r="N79" s="75"/>
      <c r="O79" s="75"/>
    </row>
    <row r="80" spans="1:15" ht="13.5" customHeight="1">
      <c r="A80" s="44"/>
      <c r="B80" s="45"/>
      <c r="C80" s="75"/>
      <c r="D80" s="207"/>
      <c r="E80" s="207"/>
      <c r="F80" s="207"/>
      <c r="G80" s="207"/>
      <c r="H80" s="207"/>
      <c r="I80" s="75"/>
      <c r="J80" s="75"/>
      <c r="K80" s="75"/>
      <c r="L80" s="75"/>
      <c r="M80" s="75"/>
      <c r="N80" s="75"/>
      <c r="O80" s="75"/>
    </row>
    <row r="81" spans="1:15" ht="13.5" customHeight="1">
      <c r="A81" s="44"/>
      <c r="B81" s="45"/>
      <c r="C81" s="75"/>
      <c r="D81" s="207"/>
      <c r="E81" s="207"/>
      <c r="F81" s="207"/>
      <c r="G81" s="207"/>
      <c r="H81" s="207"/>
      <c r="I81" s="75"/>
      <c r="J81" s="75"/>
      <c r="K81" s="75"/>
      <c r="L81" s="75"/>
      <c r="M81" s="75"/>
      <c r="N81" s="75"/>
      <c r="O81" s="75"/>
    </row>
    <row r="82" spans="1:15" ht="13.5" customHeight="1">
      <c r="A82" s="44"/>
      <c r="B82" s="45"/>
      <c r="C82" s="75"/>
      <c r="D82" s="207"/>
      <c r="E82" s="207"/>
      <c r="F82" s="207"/>
      <c r="G82" s="207"/>
      <c r="H82" s="207"/>
      <c r="I82" s="75"/>
      <c r="J82" s="75"/>
      <c r="K82" s="75"/>
      <c r="L82" s="75"/>
      <c r="M82" s="75"/>
      <c r="N82" s="75"/>
      <c r="O82" s="75"/>
    </row>
    <row r="83" spans="1:15" ht="13.5" customHeight="1">
      <c r="A83" s="44"/>
      <c r="B83" s="45"/>
      <c r="C83" s="75"/>
      <c r="D83" s="207"/>
      <c r="E83" s="207"/>
      <c r="F83" s="207"/>
      <c r="G83" s="207"/>
      <c r="H83" s="207"/>
      <c r="I83" s="75"/>
      <c r="J83" s="75"/>
      <c r="K83" s="75"/>
      <c r="L83" s="75"/>
      <c r="M83" s="75"/>
      <c r="N83" s="75"/>
      <c r="O83" s="75"/>
    </row>
    <row r="84" spans="1:15" ht="13.5" customHeight="1">
      <c r="A84" s="44"/>
      <c r="B84" s="45"/>
      <c r="C84" s="75"/>
      <c r="D84" s="207"/>
      <c r="E84" s="207"/>
      <c r="F84" s="207"/>
      <c r="G84" s="207"/>
      <c r="H84" s="207"/>
      <c r="I84" s="75"/>
      <c r="J84" s="75"/>
      <c r="K84" s="75"/>
      <c r="L84" s="75"/>
      <c r="M84" s="75"/>
      <c r="N84" s="75"/>
      <c r="O84" s="75"/>
    </row>
    <row r="85" spans="1:15" ht="13.5" customHeight="1">
      <c r="A85" s="44"/>
      <c r="B85" s="45"/>
      <c r="C85" s="75"/>
      <c r="D85" s="207"/>
      <c r="E85" s="207"/>
      <c r="F85" s="207"/>
      <c r="G85" s="207"/>
      <c r="H85" s="207"/>
      <c r="I85" s="75"/>
      <c r="J85" s="75"/>
      <c r="K85" s="75"/>
      <c r="L85" s="75"/>
      <c r="M85" s="75"/>
      <c r="N85" s="75"/>
      <c r="O85" s="75"/>
    </row>
    <row r="86" spans="1:15" ht="13.5" customHeight="1">
      <c r="A86" s="44"/>
      <c r="B86" s="45"/>
      <c r="C86" s="75"/>
      <c r="D86" s="207"/>
      <c r="E86" s="207"/>
      <c r="F86" s="207"/>
      <c r="G86" s="207"/>
      <c r="H86" s="207"/>
      <c r="I86" s="75"/>
      <c r="J86" s="75"/>
      <c r="K86" s="75"/>
      <c r="L86" s="75"/>
      <c r="M86" s="75"/>
      <c r="N86" s="75"/>
      <c r="O86" s="75"/>
    </row>
    <row r="87" spans="1:15" ht="13.5" customHeight="1">
      <c r="A87" s="44"/>
      <c r="B87" s="45"/>
      <c r="C87" s="75"/>
      <c r="D87" s="207"/>
      <c r="E87" s="207"/>
      <c r="F87" s="207"/>
      <c r="G87" s="207"/>
      <c r="H87" s="207"/>
      <c r="I87" s="75"/>
      <c r="J87" s="75"/>
      <c r="K87" s="75"/>
      <c r="L87" s="75"/>
      <c r="M87" s="75"/>
      <c r="N87" s="75"/>
      <c r="O87" s="75"/>
    </row>
    <row r="88" spans="1:15" ht="13.5" customHeight="1">
      <c r="A88" s="44"/>
      <c r="B88" s="45"/>
      <c r="C88" s="75"/>
      <c r="D88" s="207"/>
      <c r="E88" s="207"/>
      <c r="F88" s="207"/>
      <c r="G88" s="207"/>
      <c r="H88" s="207"/>
      <c r="I88" s="75"/>
      <c r="J88" s="75"/>
      <c r="K88" s="75"/>
      <c r="L88" s="75"/>
      <c r="M88" s="75"/>
      <c r="N88" s="75"/>
      <c r="O88" s="75"/>
    </row>
    <row r="89" spans="1:15" ht="13.5" customHeight="1">
      <c r="A89" s="44"/>
      <c r="B89" s="45"/>
      <c r="C89" s="75"/>
      <c r="D89" s="207"/>
      <c r="E89" s="207"/>
      <c r="F89" s="207"/>
      <c r="G89" s="207"/>
      <c r="H89" s="207"/>
      <c r="I89" s="75"/>
      <c r="J89" s="75"/>
      <c r="K89" s="75"/>
      <c r="L89" s="75"/>
      <c r="M89" s="75"/>
      <c r="N89" s="75"/>
      <c r="O89" s="75"/>
    </row>
    <row r="90" spans="1:15" ht="13.5" customHeight="1">
      <c r="A90" s="44"/>
      <c r="B90" s="45"/>
      <c r="C90" s="75"/>
      <c r="D90" s="207"/>
      <c r="E90" s="207"/>
      <c r="F90" s="207"/>
      <c r="G90" s="207"/>
      <c r="H90" s="207"/>
      <c r="I90" s="75"/>
      <c r="J90" s="75"/>
      <c r="K90" s="75"/>
      <c r="L90" s="75"/>
      <c r="M90" s="75"/>
      <c r="N90" s="75"/>
      <c r="O90" s="75"/>
    </row>
    <row r="91" spans="1:15" ht="13.5" customHeight="1">
      <c r="A91" s="44"/>
      <c r="B91" s="45"/>
      <c r="C91" s="75"/>
      <c r="D91" s="207"/>
      <c r="E91" s="207"/>
      <c r="F91" s="207"/>
      <c r="G91" s="207"/>
      <c r="H91" s="207"/>
      <c r="I91" s="75"/>
      <c r="J91" s="75"/>
      <c r="K91" s="75"/>
      <c r="L91" s="75"/>
      <c r="M91" s="75"/>
      <c r="N91" s="75"/>
      <c r="O91" s="75"/>
    </row>
    <row r="92" spans="1:15" ht="13.5" customHeight="1">
      <c r="A92" s="44"/>
      <c r="B92" s="45"/>
      <c r="C92" s="75"/>
      <c r="D92" s="207"/>
      <c r="E92" s="207"/>
      <c r="F92" s="207"/>
      <c r="G92" s="207"/>
      <c r="H92" s="207"/>
      <c r="I92" s="75"/>
      <c r="J92" s="75"/>
      <c r="K92" s="75"/>
      <c r="L92" s="75"/>
      <c r="M92" s="75"/>
      <c r="N92" s="75"/>
      <c r="O92" s="75"/>
    </row>
    <row r="93" spans="1:15" ht="13.5" customHeight="1">
      <c r="A93" s="44"/>
      <c r="B93" s="45"/>
      <c r="C93" s="75"/>
      <c r="D93" s="207"/>
      <c r="E93" s="207"/>
      <c r="F93" s="207"/>
      <c r="G93" s="207"/>
      <c r="H93" s="207"/>
      <c r="I93" s="75"/>
      <c r="J93" s="75"/>
      <c r="K93" s="75"/>
      <c r="L93" s="75"/>
      <c r="M93" s="75"/>
      <c r="N93" s="75"/>
      <c r="O93" s="75"/>
    </row>
    <row r="94" spans="1:15" ht="13.5" customHeight="1">
      <c r="A94" s="44"/>
      <c r="B94" s="45"/>
      <c r="C94" s="75"/>
      <c r="D94" s="207"/>
      <c r="E94" s="207"/>
      <c r="F94" s="207"/>
      <c r="G94" s="207"/>
      <c r="H94" s="207"/>
      <c r="I94" s="75"/>
      <c r="J94" s="75"/>
      <c r="K94" s="75"/>
      <c r="L94" s="75"/>
      <c r="M94" s="75"/>
      <c r="N94" s="75"/>
      <c r="O94" s="75"/>
    </row>
    <row r="95" spans="1:15" ht="13.5" customHeight="1">
      <c r="A95" s="44"/>
      <c r="B95" s="45"/>
      <c r="C95" s="75"/>
      <c r="D95" s="207"/>
      <c r="E95" s="207"/>
      <c r="F95" s="207"/>
      <c r="G95" s="207"/>
      <c r="H95" s="207"/>
      <c r="I95" s="75"/>
      <c r="J95" s="75"/>
      <c r="K95" s="75"/>
      <c r="L95" s="75"/>
      <c r="M95" s="75"/>
      <c r="N95" s="75"/>
      <c r="O95" s="75"/>
    </row>
    <row r="96" spans="1:15" ht="13.5" customHeight="1">
      <c r="A96" s="44"/>
      <c r="B96" s="45"/>
      <c r="C96" s="75"/>
      <c r="D96" s="207"/>
      <c r="E96" s="207"/>
      <c r="F96" s="207"/>
      <c r="G96" s="207"/>
      <c r="H96" s="207"/>
      <c r="I96" s="75"/>
      <c r="J96" s="75"/>
      <c r="K96" s="75"/>
      <c r="L96" s="75"/>
      <c r="M96" s="75"/>
      <c r="N96" s="75"/>
      <c r="O96" s="75"/>
    </row>
    <row r="97" spans="1:15" ht="13.5" customHeight="1">
      <c r="A97" s="44"/>
      <c r="B97" s="45"/>
      <c r="C97" s="75"/>
      <c r="D97" s="207"/>
      <c r="E97" s="207"/>
      <c r="F97" s="207"/>
      <c r="G97" s="207"/>
      <c r="H97" s="207"/>
      <c r="I97" s="75"/>
      <c r="J97" s="75"/>
      <c r="K97" s="75"/>
      <c r="L97" s="75"/>
      <c r="M97" s="75"/>
      <c r="N97" s="75"/>
      <c r="O97" s="75"/>
    </row>
    <row r="98" spans="1:15" ht="13.5" customHeight="1">
      <c r="A98" s="44"/>
      <c r="B98" s="45"/>
      <c r="C98" s="75"/>
      <c r="D98" s="207"/>
      <c r="E98" s="207"/>
      <c r="F98" s="207"/>
      <c r="G98" s="207"/>
      <c r="H98" s="207"/>
      <c r="I98" s="75"/>
      <c r="J98" s="75"/>
      <c r="K98" s="75"/>
      <c r="L98" s="75"/>
      <c r="M98" s="75"/>
      <c r="N98" s="75"/>
      <c r="O98" s="75"/>
    </row>
    <row r="99" spans="1:15" ht="13.5" customHeight="1">
      <c r="A99" s="44"/>
      <c r="B99" s="45"/>
      <c r="C99" s="75"/>
      <c r="D99" s="207"/>
      <c r="E99" s="207"/>
      <c r="F99" s="207"/>
      <c r="G99" s="207"/>
      <c r="H99" s="207"/>
      <c r="I99" s="75"/>
      <c r="J99" s="75"/>
      <c r="K99" s="75"/>
      <c r="L99" s="75"/>
      <c r="M99" s="75"/>
      <c r="N99" s="75"/>
      <c r="O99" s="75"/>
    </row>
    <row r="100" spans="1:15" ht="13.5" customHeight="1">
      <c r="A100" s="44"/>
      <c r="B100" s="45"/>
      <c r="C100" s="75"/>
      <c r="D100" s="207"/>
      <c r="E100" s="207"/>
      <c r="F100" s="207"/>
      <c r="G100" s="207"/>
      <c r="H100" s="207"/>
      <c r="I100" s="75"/>
      <c r="J100" s="75"/>
      <c r="K100" s="75"/>
      <c r="L100" s="75"/>
      <c r="M100" s="75"/>
      <c r="N100" s="75"/>
      <c r="O100" s="75"/>
    </row>
    <row r="101" spans="1:15" ht="13.5" customHeight="1">
      <c r="A101" s="44"/>
      <c r="B101" s="45"/>
      <c r="C101" s="75"/>
      <c r="D101" s="207"/>
      <c r="E101" s="207"/>
      <c r="F101" s="207"/>
      <c r="G101" s="207"/>
      <c r="H101" s="207"/>
      <c r="I101" s="75"/>
      <c r="J101" s="75"/>
      <c r="K101" s="75"/>
      <c r="L101" s="75"/>
      <c r="M101" s="75"/>
      <c r="N101" s="75"/>
      <c r="O101" s="75"/>
    </row>
    <row r="102" spans="1:15" ht="13.5" customHeight="1">
      <c r="A102" s="44"/>
      <c r="B102" s="45"/>
      <c r="C102" s="75"/>
      <c r="D102" s="207"/>
      <c r="E102" s="207"/>
      <c r="F102" s="207"/>
      <c r="G102" s="207"/>
      <c r="H102" s="207"/>
      <c r="I102" s="75"/>
      <c r="J102" s="75"/>
      <c r="K102" s="75"/>
      <c r="L102" s="75"/>
      <c r="M102" s="75"/>
      <c r="N102" s="75"/>
      <c r="O102" s="75"/>
    </row>
    <row r="103" spans="1:15" ht="13.5" customHeight="1">
      <c r="A103" s="44"/>
      <c r="B103" s="45"/>
      <c r="C103" s="75"/>
      <c r="D103" s="207"/>
      <c r="E103" s="207"/>
      <c r="F103" s="207"/>
      <c r="G103" s="207"/>
      <c r="H103" s="207"/>
      <c r="I103" s="75"/>
      <c r="J103" s="75"/>
      <c r="K103" s="75"/>
      <c r="L103" s="75"/>
      <c r="M103" s="75"/>
      <c r="N103" s="75"/>
      <c r="O103" s="75"/>
    </row>
    <row r="104" spans="1:15" ht="13.5" customHeight="1">
      <c r="A104" s="44"/>
      <c r="B104" s="45"/>
      <c r="C104" s="75"/>
      <c r="D104" s="207">
        <v>2020</v>
      </c>
      <c r="E104" s="207">
        <v>2021</v>
      </c>
      <c r="F104" s="207">
        <v>2022</v>
      </c>
      <c r="G104" s="207">
        <v>2023</v>
      </c>
      <c r="H104" s="207">
        <v>2024</v>
      </c>
      <c r="I104" s="75"/>
      <c r="J104" s="75"/>
      <c r="K104" s="75"/>
      <c r="L104" s="75"/>
      <c r="M104" s="75"/>
      <c r="N104" s="75"/>
      <c r="O104" s="75"/>
    </row>
    <row r="105" spans="1:15" ht="13.5" customHeight="1">
      <c r="A105" s="44"/>
      <c r="B105" s="45"/>
      <c r="C105" s="75"/>
      <c r="D105" s="207">
        <v>7800000</v>
      </c>
      <c r="E105" s="207">
        <v>8580000</v>
      </c>
      <c r="F105" s="207">
        <v>9438000</v>
      </c>
      <c r="G105" s="207">
        <v>9909900</v>
      </c>
      <c r="H105" s="207">
        <v>10405395</v>
      </c>
      <c r="I105" s="75"/>
      <c r="J105" s="75"/>
      <c r="K105" s="75"/>
      <c r="L105" s="75"/>
      <c r="M105" s="75"/>
      <c r="N105" s="75"/>
      <c r="O105" s="75"/>
    </row>
    <row r="106" spans="1:15" ht="13.5" customHeight="1">
      <c r="A106" s="44"/>
      <c r="B106" s="45"/>
      <c r="C106" s="75"/>
      <c r="D106" s="207">
        <v>82075621</v>
      </c>
      <c r="E106" s="207">
        <v>89266621</v>
      </c>
      <c r="F106" s="207">
        <v>97176721</v>
      </c>
      <c r="G106" s="207">
        <v>101527276</v>
      </c>
      <c r="H106" s="207">
        <v>106095359</v>
      </c>
      <c r="I106" s="75"/>
      <c r="J106" s="75"/>
      <c r="K106" s="75"/>
      <c r="L106" s="75"/>
      <c r="M106" s="75"/>
      <c r="N106" s="75"/>
      <c r="O106" s="75"/>
    </row>
    <row r="107" spans="1:15" ht="13.5" customHeight="1">
      <c r="A107" s="44"/>
      <c r="B107" s="45"/>
      <c r="C107" s="75"/>
      <c r="D107" s="207">
        <v>41016065</v>
      </c>
      <c r="E107" s="207">
        <v>43844765</v>
      </c>
      <c r="F107" s="207">
        <v>50727126</v>
      </c>
      <c r="G107" s="207">
        <v>55238883</v>
      </c>
      <c r="H107" s="207">
        <v>60034881</v>
      </c>
      <c r="I107" s="75"/>
      <c r="J107" s="75"/>
      <c r="K107" s="75"/>
      <c r="L107" s="75"/>
      <c r="M107" s="75"/>
      <c r="N107" s="75"/>
      <c r="O107" s="75"/>
    </row>
    <row r="108" spans="1:15" ht="13.5" customHeight="1">
      <c r="A108" s="44"/>
      <c r="B108" s="45"/>
      <c r="C108" s="75"/>
      <c r="D108" s="207"/>
      <c r="E108" s="207"/>
      <c r="F108" s="207"/>
      <c r="G108" s="207"/>
      <c r="H108" s="207"/>
      <c r="I108" s="75"/>
      <c r="J108" s="75"/>
      <c r="K108" s="75"/>
      <c r="L108" s="75"/>
      <c r="M108" s="75"/>
      <c r="N108" s="75"/>
      <c r="O108" s="75"/>
    </row>
    <row r="109" spans="1:15" ht="13.5" customHeight="1">
      <c r="A109" s="44"/>
      <c r="B109" s="45"/>
      <c r="C109" s="75"/>
      <c r="D109" s="207"/>
      <c r="E109" s="207"/>
      <c r="F109" s="207"/>
      <c r="G109" s="207"/>
      <c r="H109" s="207"/>
      <c r="I109" s="75"/>
      <c r="J109" s="75"/>
      <c r="K109" s="75"/>
      <c r="L109" s="75"/>
      <c r="M109" s="75"/>
      <c r="N109" s="75"/>
      <c r="O109" s="75"/>
    </row>
    <row r="110" spans="1:15" ht="13.5" customHeight="1">
      <c r="A110" s="44"/>
      <c r="B110" s="45"/>
      <c r="C110" s="75"/>
      <c r="D110" s="207"/>
      <c r="E110" s="207"/>
      <c r="F110" s="207"/>
      <c r="G110" s="207"/>
      <c r="H110" s="207"/>
      <c r="I110" s="75"/>
      <c r="J110" s="75"/>
      <c r="K110" s="75"/>
      <c r="L110" s="75"/>
      <c r="M110" s="75"/>
      <c r="N110" s="75"/>
      <c r="O110" s="75"/>
    </row>
    <row r="111" spans="1:15" ht="13.5" customHeight="1">
      <c r="A111" s="44"/>
      <c r="B111" s="45"/>
      <c r="C111" s="75"/>
      <c r="D111" s="207"/>
      <c r="E111" s="207"/>
      <c r="F111" s="207"/>
      <c r="G111" s="207"/>
      <c r="H111" s="207"/>
      <c r="I111" s="75"/>
      <c r="J111" s="75"/>
      <c r="K111" s="75"/>
      <c r="L111" s="75"/>
      <c r="M111" s="75"/>
      <c r="N111" s="75"/>
      <c r="O111" s="75"/>
    </row>
    <row r="112" spans="1:15" ht="13.5" customHeight="1">
      <c r="A112" s="44"/>
      <c r="B112" s="45"/>
      <c r="C112" s="75"/>
      <c r="D112" s="207"/>
      <c r="E112" s="207"/>
      <c r="F112" s="207"/>
      <c r="G112" s="207"/>
      <c r="H112" s="207"/>
      <c r="I112" s="75"/>
      <c r="J112" s="75"/>
      <c r="K112" s="75"/>
      <c r="L112" s="75"/>
      <c r="M112" s="75"/>
      <c r="N112" s="75"/>
      <c r="O112" s="75"/>
    </row>
    <row r="113" spans="1:15" ht="13.5" customHeight="1">
      <c r="A113" s="44"/>
      <c r="B113" s="45"/>
      <c r="C113" s="75"/>
      <c r="D113" s="207"/>
      <c r="E113" s="207"/>
      <c r="F113" s="207"/>
      <c r="G113" s="207"/>
      <c r="H113" s="207"/>
      <c r="I113" s="75"/>
      <c r="J113" s="75"/>
      <c r="K113" s="75"/>
      <c r="L113" s="75"/>
      <c r="M113" s="75"/>
      <c r="N113" s="75"/>
      <c r="O113" s="75"/>
    </row>
    <row r="114" spans="1:15" ht="13.5" customHeight="1">
      <c r="A114" s="44"/>
      <c r="B114" s="45"/>
      <c r="C114" s="75"/>
      <c r="D114" s="207"/>
      <c r="E114" s="207"/>
      <c r="F114" s="207"/>
      <c r="G114" s="207"/>
      <c r="H114" s="207"/>
      <c r="I114" s="75"/>
      <c r="J114" s="75"/>
      <c r="K114" s="75"/>
      <c r="L114" s="75"/>
      <c r="M114" s="75"/>
      <c r="N114" s="75"/>
      <c r="O114" s="75"/>
    </row>
    <row r="115" spans="1:15" ht="13.5" customHeight="1">
      <c r="A115" s="44"/>
      <c r="B115" s="45"/>
      <c r="C115" s="75"/>
      <c r="D115" s="207"/>
      <c r="E115" s="207"/>
      <c r="F115" s="207"/>
      <c r="G115" s="207"/>
      <c r="H115" s="207"/>
      <c r="I115" s="75"/>
      <c r="J115" s="75"/>
      <c r="K115" s="75"/>
      <c r="L115" s="75"/>
      <c r="M115" s="75"/>
      <c r="N115" s="75"/>
      <c r="O115" s="75"/>
    </row>
    <row r="116" spans="1:15" ht="13.5" customHeight="1">
      <c r="A116" s="44"/>
      <c r="B116" s="45"/>
      <c r="C116" s="75"/>
      <c r="D116" s="207"/>
      <c r="E116" s="207"/>
      <c r="F116" s="207"/>
      <c r="G116" s="207"/>
      <c r="H116" s="207"/>
      <c r="I116" s="75"/>
      <c r="J116" s="75"/>
      <c r="K116" s="75"/>
      <c r="L116" s="75"/>
      <c r="M116" s="75"/>
      <c r="N116" s="75"/>
      <c r="O116" s="75"/>
    </row>
    <row r="117" spans="1:15" ht="13.5" customHeight="1">
      <c r="A117" s="3"/>
      <c r="B117" s="3"/>
      <c r="C117" s="75"/>
      <c r="D117" s="207"/>
      <c r="E117" s="207"/>
      <c r="F117" s="207"/>
      <c r="G117" s="207"/>
      <c r="H117" s="207"/>
      <c r="I117" s="75"/>
      <c r="J117" s="75"/>
      <c r="K117" s="75"/>
      <c r="L117" s="75"/>
      <c r="M117" s="75"/>
      <c r="N117" s="75"/>
      <c r="O117" s="75"/>
    </row>
    <row r="118" spans="1:15" ht="13.5" customHeight="1">
      <c r="A118" s="3"/>
      <c r="B118" s="3"/>
      <c r="C118" s="75"/>
      <c r="D118" s="207"/>
      <c r="E118" s="207"/>
      <c r="F118" s="207"/>
      <c r="G118" s="207"/>
      <c r="H118" s="207"/>
      <c r="I118" s="75"/>
      <c r="J118" s="75"/>
      <c r="K118" s="75"/>
      <c r="L118" s="75"/>
      <c r="M118" s="75"/>
      <c r="N118" s="75"/>
      <c r="O118" s="75"/>
    </row>
    <row r="119" spans="1:15" ht="13.5" customHeight="1">
      <c r="A119" s="3"/>
      <c r="B119" s="3"/>
      <c r="C119" s="75"/>
      <c r="D119" s="207"/>
      <c r="E119" s="207"/>
      <c r="F119" s="207"/>
      <c r="G119" s="207"/>
      <c r="H119" s="207"/>
      <c r="I119" s="75"/>
      <c r="J119" s="75"/>
      <c r="K119" s="75"/>
      <c r="L119" s="75"/>
      <c r="M119" s="75"/>
      <c r="N119" s="75"/>
      <c r="O119" s="75"/>
    </row>
    <row r="120" spans="1:15" ht="13.5" customHeight="1">
      <c r="A120" s="3"/>
      <c r="B120" s="3"/>
      <c r="C120" s="75"/>
      <c r="D120" s="207" t="e">
        <v>#REF!</v>
      </c>
      <c r="E120" s="207"/>
      <c r="F120" s="207"/>
      <c r="G120" s="207"/>
      <c r="H120" s="207"/>
      <c r="I120" s="75"/>
      <c r="J120" s="75"/>
      <c r="K120" s="75"/>
      <c r="L120" s="75"/>
      <c r="M120" s="75"/>
      <c r="N120" s="75"/>
      <c r="O120" s="75"/>
    </row>
    <row r="121" spans="1:15" ht="13.5" customHeight="1">
      <c r="A121" s="3"/>
      <c r="B121" s="3"/>
      <c r="C121" s="75"/>
      <c r="D121" s="207"/>
      <c r="E121" s="207"/>
      <c r="F121" s="207"/>
      <c r="G121" s="207"/>
      <c r="H121" s="207"/>
      <c r="I121" s="75"/>
      <c r="J121" s="75"/>
      <c r="K121" s="75"/>
      <c r="L121" s="75"/>
      <c r="M121" s="75"/>
      <c r="N121" s="75"/>
      <c r="O121" s="75"/>
    </row>
    <row r="122" spans="1:15" ht="13.5" customHeight="1">
      <c r="A122" s="3"/>
      <c r="B122" s="3"/>
      <c r="C122" s="75"/>
      <c r="D122" s="207" t="e">
        <v>#REF!</v>
      </c>
      <c r="E122" s="207" t="s">
        <v>259</v>
      </c>
      <c r="F122" s="207" t="s">
        <v>259</v>
      </c>
      <c r="G122" s="207"/>
      <c r="H122" s="207"/>
      <c r="I122" s="75"/>
      <c r="J122" s="75"/>
      <c r="K122" s="75"/>
      <c r="L122" s="75"/>
      <c r="M122" s="75"/>
      <c r="N122" s="75"/>
      <c r="O122" s="75"/>
    </row>
    <row r="123" spans="1:15" ht="13.5" customHeight="1">
      <c r="A123" s="3"/>
      <c r="B123" s="3"/>
      <c r="C123" s="75"/>
      <c r="D123" s="207" t="e">
        <v>#REF!</v>
      </c>
      <c r="E123" s="207" t="e">
        <v>#REF!</v>
      </c>
      <c r="F123" s="207" t="s">
        <v>259</v>
      </c>
      <c r="G123" s="207"/>
      <c r="H123" s="207"/>
      <c r="I123" s="75"/>
      <c r="J123" s="75"/>
      <c r="K123" s="75"/>
      <c r="L123" s="75"/>
      <c r="M123" s="75"/>
      <c r="N123" s="75"/>
      <c r="O123" s="75"/>
    </row>
    <row r="124" spans="1:15" ht="13.5" customHeight="1">
      <c r="A124" s="3"/>
      <c r="B124" s="3"/>
      <c r="C124" s="75"/>
      <c r="D124" s="207" t="e">
        <v>#REF!</v>
      </c>
      <c r="E124" s="207" t="e">
        <v>#REF!</v>
      </c>
      <c r="F124" s="207" t="e">
        <v>#REF!</v>
      </c>
      <c r="G124" s="207"/>
      <c r="H124" s="207"/>
      <c r="I124" s="75"/>
      <c r="J124" s="75"/>
      <c r="K124" s="75"/>
      <c r="L124" s="75"/>
      <c r="M124" s="75"/>
      <c r="N124" s="75"/>
      <c r="O124" s="75"/>
    </row>
    <row r="125" spans="1:15" ht="13.5" customHeight="1">
      <c r="A125" s="3"/>
      <c r="B125" s="3"/>
      <c r="C125" s="75"/>
      <c r="D125" s="207" t="e">
        <v>#REF!</v>
      </c>
      <c r="E125" s="207" t="e">
        <v>#REF!</v>
      </c>
      <c r="F125" s="207" t="e">
        <v>#REF!</v>
      </c>
      <c r="G125" s="207"/>
      <c r="H125" s="207"/>
      <c r="I125" s="75"/>
      <c r="J125" s="75"/>
      <c r="K125" s="75"/>
      <c r="L125" s="75"/>
      <c r="M125" s="75"/>
      <c r="N125" s="75"/>
      <c r="O125" s="75"/>
    </row>
    <row r="126" spans="1:15" ht="13.5" customHeight="1">
      <c r="A126" s="3"/>
      <c r="B126" s="3"/>
      <c r="C126" s="75"/>
      <c r="D126" s="207" t="e">
        <v>#REF!</v>
      </c>
      <c r="E126" s="207" t="e">
        <v>#REF!</v>
      </c>
      <c r="F126" s="207" t="e">
        <v>#REF!</v>
      </c>
      <c r="G126" s="207"/>
      <c r="H126" s="207"/>
      <c r="I126" s="75"/>
      <c r="J126" s="75"/>
      <c r="K126" s="75"/>
      <c r="L126" s="75"/>
      <c r="M126" s="75"/>
      <c r="N126" s="75"/>
      <c r="O126" s="75"/>
    </row>
    <row r="127" spans="1:15" ht="13.5" customHeight="1">
      <c r="A127" s="3"/>
      <c r="B127" s="3"/>
      <c r="C127" s="75"/>
      <c r="D127" s="207" t="e">
        <v>#REF!</v>
      </c>
      <c r="E127" s="207" t="e">
        <v>#REF!</v>
      </c>
      <c r="F127" s="207" t="e">
        <v>#REF!</v>
      </c>
      <c r="G127" s="207"/>
      <c r="H127" s="207"/>
      <c r="I127" s="75"/>
      <c r="J127" s="75"/>
      <c r="K127" s="75"/>
      <c r="L127" s="75"/>
      <c r="M127" s="75"/>
      <c r="N127" s="75"/>
      <c r="O127" s="75"/>
    </row>
    <row r="128" spans="1:15" ht="13.5" customHeight="1">
      <c r="A128" s="3"/>
      <c r="B128" s="3"/>
      <c r="C128" s="75"/>
      <c r="D128" s="207"/>
      <c r="E128" s="207"/>
      <c r="F128" s="207"/>
      <c r="G128" s="207"/>
      <c r="H128" s="207"/>
      <c r="I128" s="75"/>
      <c r="J128" s="75"/>
      <c r="K128" s="75"/>
      <c r="L128" s="75"/>
      <c r="M128" s="75"/>
      <c r="N128" s="75"/>
      <c r="O128" s="75"/>
    </row>
    <row r="129" spans="1:15" ht="13.5" customHeight="1">
      <c r="A129" s="3"/>
      <c r="B129" s="3"/>
      <c r="C129" s="75"/>
      <c r="D129" s="207"/>
      <c r="E129" s="207"/>
      <c r="F129" s="207"/>
      <c r="G129" s="207"/>
      <c r="H129" s="207"/>
      <c r="I129" s="75"/>
      <c r="J129" s="75"/>
      <c r="K129" s="75"/>
      <c r="L129" s="75"/>
      <c r="M129" s="75"/>
      <c r="N129" s="75"/>
      <c r="O129" s="75"/>
    </row>
    <row r="130" spans="1:15" ht="13.5" customHeight="1">
      <c r="A130" s="3"/>
      <c r="B130" s="3"/>
      <c r="C130" s="75"/>
      <c r="D130" s="207"/>
      <c r="E130" s="207"/>
      <c r="F130" s="207"/>
      <c r="G130" s="207"/>
      <c r="H130" s="207"/>
      <c r="I130" s="75"/>
      <c r="J130" s="75"/>
      <c r="K130" s="75"/>
      <c r="L130" s="75"/>
      <c r="M130" s="75"/>
      <c r="N130" s="75"/>
      <c r="O130" s="75"/>
    </row>
    <row r="131" spans="1:15" ht="13.5" customHeight="1">
      <c r="A131" s="3"/>
      <c r="B131" s="3"/>
      <c r="C131" s="75"/>
      <c r="D131" s="207"/>
      <c r="E131" s="207"/>
      <c r="F131" s="207"/>
      <c r="G131" s="207"/>
      <c r="H131" s="207"/>
      <c r="I131" s="75"/>
      <c r="J131" s="75"/>
      <c r="K131" s="75"/>
      <c r="L131" s="75"/>
      <c r="M131" s="75"/>
      <c r="N131" s="75"/>
      <c r="O131" s="75"/>
    </row>
    <row r="132" spans="1:15" ht="13.5" customHeight="1">
      <c r="A132" s="3"/>
      <c r="B132" s="3"/>
      <c r="C132" s="75"/>
      <c r="D132" s="207"/>
      <c r="E132" s="207"/>
      <c r="F132" s="207"/>
      <c r="G132" s="207"/>
      <c r="H132" s="207"/>
      <c r="I132" s="75"/>
      <c r="J132" s="75"/>
      <c r="K132" s="75"/>
      <c r="L132" s="75"/>
      <c r="M132" s="75"/>
      <c r="N132" s="75"/>
      <c r="O132" s="75"/>
    </row>
    <row r="133" spans="1:15" ht="13.5" customHeight="1">
      <c r="A133" s="3"/>
      <c r="B133" s="3"/>
      <c r="C133" s="75"/>
      <c r="D133" s="207"/>
      <c r="E133" s="207"/>
      <c r="F133" s="207"/>
      <c r="G133" s="207"/>
      <c r="H133" s="207"/>
      <c r="I133" s="75"/>
      <c r="J133" s="75"/>
      <c r="K133" s="75"/>
      <c r="L133" s="75"/>
      <c r="M133" s="75"/>
      <c r="N133" s="75"/>
      <c r="O133" s="75"/>
    </row>
    <row r="134" spans="1:15" ht="13.5" customHeight="1">
      <c r="A134" s="3"/>
      <c r="B134" s="3"/>
      <c r="C134" s="75"/>
      <c r="D134" s="207"/>
      <c r="E134" s="207"/>
      <c r="F134" s="207"/>
      <c r="G134" s="207"/>
      <c r="H134" s="207"/>
      <c r="I134" s="75"/>
      <c r="J134" s="75"/>
      <c r="K134" s="75"/>
      <c r="L134" s="75"/>
      <c r="M134" s="75"/>
      <c r="N134" s="75"/>
      <c r="O134" s="75"/>
    </row>
    <row r="135" spans="1:15" ht="13.5" customHeight="1">
      <c r="A135" s="3"/>
      <c r="B135" s="3"/>
      <c r="C135" s="75"/>
      <c r="D135" s="207"/>
      <c r="E135" s="207"/>
      <c r="F135" s="207"/>
      <c r="G135" s="207"/>
      <c r="H135" s="207"/>
      <c r="I135" s="75"/>
      <c r="J135" s="75"/>
      <c r="K135" s="75"/>
      <c r="L135" s="75"/>
      <c r="M135" s="75"/>
      <c r="N135" s="75"/>
      <c r="O135" s="75"/>
    </row>
    <row r="136" spans="1:15" ht="13.5" customHeight="1">
      <c r="A136" s="3"/>
      <c r="B136" s="3"/>
      <c r="C136" s="75"/>
      <c r="D136" s="207"/>
      <c r="E136" s="207"/>
      <c r="F136" s="207"/>
      <c r="G136" s="207"/>
      <c r="H136" s="207"/>
      <c r="I136" s="75"/>
      <c r="J136" s="75"/>
      <c r="K136" s="75"/>
      <c r="L136" s="75"/>
      <c r="M136" s="75"/>
      <c r="N136" s="75"/>
      <c r="O136" s="75"/>
    </row>
    <row r="137" spans="1:15" ht="13.5" customHeight="1">
      <c r="A137" s="3"/>
      <c r="B137" s="3"/>
      <c r="C137" s="75"/>
      <c r="D137" s="207"/>
      <c r="E137" s="207"/>
      <c r="F137" s="207"/>
      <c r="G137" s="207"/>
      <c r="H137" s="207"/>
      <c r="I137" s="75"/>
      <c r="J137" s="75"/>
      <c r="K137" s="75"/>
      <c r="L137" s="75"/>
      <c r="M137" s="75"/>
      <c r="N137" s="75"/>
      <c r="O137" s="75"/>
    </row>
    <row r="138" spans="1:15" ht="13.5" customHeight="1">
      <c r="A138" s="3"/>
      <c r="B138" s="3"/>
      <c r="C138" s="75"/>
      <c r="D138" s="207"/>
      <c r="E138" s="207"/>
      <c r="F138" s="207"/>
      <c r="G138" s="207"/>
      <c r="H138" s="207"/>
      <c r="I138" s="75"/>
      <c r="J138" s="75"/>
      <c r="K138" s="75"/>
      <c r="L138" s="75"/>
      <c r="M138" s="75"/>
      <c r="N138" s="75"/>
      <c r="O138" s="75"/>
    </row>
    <row r="139" spans="1:15" ht="13.5" customHeight="1">
      <c r="A139" s="3"/>
      <c r="B139" s="3"/>
      <c r="C139" s="75"/>
      <c r="D139" s="207"/>
      <c r="E139" s="207"/>
      <c r="F139" s="207"/>
      <c r="G139" s="207"/>
      <c r="H139" s="207"/>
      <c r="I139" s="75"/>
      <c r="J139" s="75"/>
      <c r="K139" s="75"/>
      <c r="L139" s="75"/>
      <c r="M139" s="75"/>
      <c r="N139" s="75"/>
      <c r="O139" s="75"/>
    </row>
    <row r="140" spans="1:15" ht="13.5" customHeight="1">
      <c r="A140" s="3"/>
      <c r="B140" s="3"/>
      <c r="C140" s="75"/>
      <c r="D140" s="207"/>
      <c r="E140" s="207"/>
      <c r="F140" s="207"/>
      <c r="G140" s="207"/>
      <c r="H140" s="207"/>
      <c r="I140" s="75"/>
      <c r="J140" s="75"/>
      <c r="K140" s="75"/>
      <c r="L140" s="75"/>
      <c r="M140" s="75"/>
      <c r="N140" s="75"/>
      <c r="O140" s="75"/>
    </row>
    <row r="141" spans="1:15" ht="13.5" customHeight="1">
      <c r="A141" s="3"/>
      <c r="B141" s="3"/>
      <c r="C141" s="75"/>
      <c r="D141" s="207"/>
      <c r="E141" s="207"/>
      <c r="F141" s="207"/>
      <c r="G141" s="207"/>
      <c r="H141" s="207"/>
      <c r="I141" s="75"/>
      <c r="J141" s="75"/>
      <c r="K141" s="75"/>
      <c r="L141" s="75"/>
      <c r="M141" s="75"/>
      <c r="N141" s="75"/>
      <c r="O141" s="75"/>
    </row>
    <row r="142" spans="1:15" ht="13.5" customHeight="1">
      <c r="A142" s="3"/>
      <c r="B142" s="3"/>
      <c r="C142" s="75"/>
      <c r="D142" s="207"/>
      <c r="E142" s="207"/>
      <c r="F142" s="207"/>
      <c r="G142" s="207"/>
      <c r="H142" s="207"/>
      <c r="I142" s="75"/>
      <c r="J142" s="75"/>
      <c r="K142" s="75"/>
      <c r="L142" s="75"/>
      <c r="M142" s="75"/>
      <c r="N142" s="75"/>
      <c r="O142" s="75"/>
    </row>
    <row r="143" spans="1:15" ht="13.5" customHeight="1">
      <c r="A143" s="3"/>
      <c r="B143" s="3"/>
      <c r="C143" s="75"/>
      <c r="D143" s="207"/>
      <c r="E143" s="207"/>
      <c r="F143" s="207"/>
      <c r="G143" s="207"/>
      <c r="H143" s="207"/>
      <c r="I143" s="75"/>
      <c r="J143" s="75"/>
      <c r="K143" s="75"/>
      <c r="L143" s="75"/>
      <c r="M143" s="75"/>
      <c r="N143" s="75"/>
      <c r="O143" s="75"/>
    </row>
    <row r="144" spans="1:15" ht="13.5" customHeight="1">
      <c r="A144" s="3"/>
      <c r="B144" s="3"/>
      <c r="C144" s="75"/>
      <c r="D144" s="207"/>
      <c r="E144" s="207"/>
      <c r="F144" s="207"/>
      <c r="G144" s="207"/>
      <c r="H144" s="207"/>
      <c r="I144" s="75"/>
      <c r="J144" s="75"/>
      <c r="K144" s="75"/>
      <c r="L144" s="75"/>
      <c r="M144" s="75"/>
      <c r="N144" s="75"/>
      <c r="O144" s="75"/>
    </row>
    <row r="145" spans="1:15" ht="13.5" customHeight="1">
      <c r="A145" s="3"/>
      <c r="B145" s="3"/>
      <c r="C145" s="75"/>
      <c r="D145" s="207"/>
      <c r="E145" s="207"/>
      <c r="F145" s="207"/>
      <c r="G145" s="207"/>
      <c r="H145" s="207"/>
      <c r="I145" s="75"/>
      <c r="J145" s="75"/>
      <c r="K145" s="75"/>
      <c r="L145" s="75"/>
      <c r="M145" s="75"/>
      <c r="N145" s="75"/>
      <c r="O145" s="75"/>
    </row>
    <row r="146" spans="1:15" ht="13.5" customHeight="1">
      <c r="A146" s="3"/>
      <c r="B146" s="3"/>
      <c r="C146" s="75"/>
      <c r="D146" s="207"/>
      <c r="E146" s="207"/>
      <c r="F146" s="207"/>
      <c r="G146" s="207"/>
      <c r="H146" s="207"/>
      <c r="I146" s="75"/>
      <c r="J146" s="75"/>
      <c r="K146" s="75"/>
      <c r="L146" s="75"/>
      <c r="M146" s="75"/>
      <c r="N146" s="75"/>
      <c r="O146" s="75"/>
    </row>
    <row r="147" spans="1:15" ht="13.5" customHeight="1">
      <c r="A147" s="3"/>
      <c r="B147" s="3"/>
      <c r="C147" s="75"/>
      <c r="D147" s="207"/>
      <c r="E147" s="207"/>
      <c r="F147" s="207"/>
      <c r="G147" s="207"/>
      <c r="H147" s="207"/>
      <c r="I147" s="75"/>
      <c r="J147" s="75"/>
      <c r="K147" s="75"/>
      <c r="L147" s="75"/>
      <c r="M147" s="75"/>
      <c r="N147" s="75"/>
      <c r="O147" s="75"/>
    </row>
    <row r="148" spans="1:15" ht="13.5" customHeight="1">
      <c r="A148" s="3"/>
      <c r="B148" s="3"/>
      <c r="C148" s="75"/>
      <c r="D148" s="207"/>
      <c r="E148" s="207"/>
      <c r="F148" s="207"/>
      <c r="G148" s="207"/>
      <c r="H148" s="207"/>
      <c r="I148" s="75"/>
      <c r="J148" s="75"/>
      <c r="K148" s="75"/>
      <c r="L148" s="75"/>
      <c r="M148" s="75"/>
      <c r="N148" s="75"/>
      <c r="O148" s="75"/>
    </row>
    <row r="149" spans="1:15" ht="13.5" customHeight="1">
      <c r="A149" s="3"/>
      <c r="B149" s="3"/>
      <c r="C149" s="75"/>
      <c r="D149" s="207"/>
      <c r="E149" s="207"/>
      <c r="F149" s="207"/>
      <c r="G149" s="207"/>
      <c r="H149" s="207"/>
      <c r="I149" s="75"/>
      <c r="J149" s="75"/>
      <c r="K149" s="75"/>
      <c r="L149" s="75"/>
      <c r="M149" s="75"/>
      <c r="N149" s="75"/>
      <c r="O149" s="75"/>
    </row>
    <row r="150" spans="1:15" ht="13.5" customHeight="1">
      <c r="A150" s="3"/>
      <c r="B150" s="3"/>
      <c r="C150" s="75"/>
      <c r="D150" s="207"/>
      <c r="E150" s="207"/>
      <c r="F150" s="207"/>
      <c r="G150" s="207"/>
      <c r="H150" s="207"/>
      <c r="I150" s="75"/>
      <c r="J150" s="75"/>
      <c r="K150" s="75"/>
      <c r="L150" s="75"/>
      <c r="M150" s="75"/>
      <c r="N150" s="75"/>
      <c r="O150" s="75"/>
    </row>
    <row r="151" spans="1:15" ht="13.5" customHeight="1">
      <c r="A151" s="3"/>
      <c r="B151" s="3"/>
      <c r="C151" s="75"/>
      <c r="D151" s="207"/>
      <c r="E151" s="207"/>
      <c r="F151" s="207"/>
      <c r="G151" s="207"/>
      <c r="H151" s="207"/>
      <c r="I151" s="75"/>
      <c r="J151" s="75"/>
      <c r="K151" s="75"/>
      <c r="L151" s="75"/>
      <c r="M151" s="75"/>
      <c r="N151" s="75"/>
      <c r="O151" s="75"/>
    </row>
    <row r="152" spans="1:15" ht="13.5" customHeight="1">
      <c r="A152" s="3"/>
      <c r="B152" s="3"/>
      <c r="C152" s="75"/>
      <c r="D152" s="207"/>
      <c r="E152" s="207"/>
      <c r="F152" s="207"/>
      <c r="G152" s="207"/>
      <c r="H152" s="207"/>
      <c r="I152" s="75"/>
      <c r="J152" s="75"/>
      <c r="K152" s="75"/>
      <c r="L152" s="75"/>
      <c r="M152" s="75"/>
      <c r="N152" s="75"/>
      <c r="O152" s="75"/>
    </row>
    <row r="153" spans="1:15" ht="13.5" customHeight="1">
      <c r="A153" s="3"/>
      <c r="B153" s="3"/>
      <c r="C153" s="75"/>
      <c r="D153" s="207"/>
      <c r="E153" s="207"/>
      <c r="F153" s="207"/>
      <c r="G153" s="207"/>
      <c r="H153" s="207"/>
      <c r="I153" s="75"/>
      <c r="J153" s="75"/>
      <c r="K153" s="75"/>
      <c r="L153" s="75"/>
      <c r="M153" s="75"/>
      <c r="N153" s="75"/>
      <c r="O153" s="75"/>
    </row>
    <row r="154" spans="1:15" ht="13.5" customHeight="1">
      <c r="A154" s="3"/>
      <c r="B154" s="3"/>
      <c r="C154" s="75"/>
      <c r="D154" s="207"/>
      <c r="E154" s="207"/>
      <c r="F154" s="207"/>
      <c r="G154" s="207"/>
      <c r="H154" s="207"/>
      <c r="I154" s="75"/>
      <c r="J154" s="75"/>
      <c r="K154" s="75"/>
      <c r="L154" s="75"/>
      <c r="M154" s="75"/>
      <c r="N154" s="75"/>
      <c r="O154" s="75"/>
    </row>
    <row r="155" spans="1:15" ht="13.5" customHeight="1">
      <c r="A155" s="3"/>
      <c r="B155" s="3"/>
      <c r="C155" s="75"/>
      <c r="D155" s="207"/>
      <c r="E155" s="207"/>
      <c r="F155" s="207"/>
      <c r="G155" s="207"/>
      <c r="H155" s="207"/>
      <c r="I155" s="75"/>
      <c r="J155" s="75"/>
      <c r="K155" s="75"/>
      <c r="L155" s="75"/>
      <c r="M155" s="75"/>
      <c r="N155" s="75"/>
      <c r="O155" s="75"/>
    </row>
    <row r="156" spans="1:15" ht="13.5" customHeight="1">
      <c r="A156" s="3"/>
      <c r="B156" s="3"/>
      <c r="C156" s="75"/>
      <c r="D156" s="207"/>
      <c r="E156" s="207"/>
      <c r="F156" s="207"/>
      <c r="G156" s="207"/>
      <c r="H156" s="207"/>
      <c r="I156" s="75"/>
      <c r="J156" s="75"/>
      <c r="K156" s="75"/>
      <c r="L156" s="75"/>
      <c r="M156" s="75"/>
      <c r="N156" s="75"/>
      <c r="O156" s="75"/>
    </row>
    <row r="157" spans="1:15" ht="13.5" customHeight="1">
      <c r="A157" s="3"/>
      <c r="B157" s="3"/>
      <c r="C157" s="75"/>
      <c r="D157" s="207"/>
      <c r="E157" s="207"/>
      <c r="F157" s="207"/>
      <c r="G157" s="207"/>
      <c r="H157" s="207"/>
      <c r="I157" s="75"/>
      <c r="J157" s="75"/>
      <c r="K157" s="75"/>
      <c r="L157" s="75"/>
      <c r="M157" s="75"/>
      <c r="N157" s="75"/>
      <c r="O157" s="75"/>
    </row>
    <row r="158" spans="1:15" ht="13.5" customHeight="1">
      <c r="A158" s="3"/>
      <c r="B158" s="3"/>
      <c r="C158" s="75"/>
      <c r="D158" s="207"/>
      <c r="E158" s="207"/>
      <c r="F158" s="207"/>
      <c r="G158" s="207"/>
      <c r="H158" s="207"/>
      <c r="I158" s="75"/>
      <c r="J158" s="75"/>
      <c r="K158" s="75"/>
      <c r="L158" s="75"/>
      <c r="M158" s="75"/>
      <c r="N158" s="75"/>
      <c r="O158" s="75"/>
    </row>
    <row r="159" spans="1:15" ht="13.5" customHeight="1">
      <c r="A159" s="3"/>
      <c r="B159" s="3"/>
      <c r="C159" s="75"/>
      <c r="D159" s="207"/>
      <c r="E159" s="207"/>
      <c r="F159" s="207"/>
      <c r="G159" s="207"/>
      <c r="H159" s="207"/>
      <c r="I159" s="75"/>
      <c r="J159" s="75"/>
      <c r="K159" s="75"/>
      <c r="L159" s="75"/>
      <c r="M159" s="75"/>
      <c r="N159" s="75"/>
      <c r="O159" s="75"/>
    </row>
    <row r="160" spans="1:15" ht="13.5" customHeight="1">
      <c r="A160" s="3"/>
      <c r="B160" s="3"/>
      <c r="C160" s="75"/>
      <c r="D160" s="207"/>
      <c r="E160" s="207"/>
      <c r="F160" s="207"/>
      <c r="G160" s="207"/>
      <c r="H160" s="207"/>
      <c r="I160" s="75"/>
      <c r="J160" s="75"/>
      <c r="K160" s="75"/>
      <c r="L160" s="75"/>
      <c r="M160" s="75"/>
      <c r="N160" s="75"/>
      <c r="O160" s="75"/>
    </row>
    <row r="161" spans="1:15" ht="13.5" customHeight="1">
      <c r="A161" s="3"/>
      <c r="B161" s="3"/>
      <c r="C161" s="75"/>
      <c r="D161" s="207"/>
      <c r="E161" s="207"/>
      <c r="F161" s="207"/>
      <c r="G161" s="207"/>
      <c r="H161" s="207"/>
      <c r="I161" s="75"/>
      <c r="J161" s="75"/>
      <c r="K161" s="75"/>
      <c r="L161" s="75"/>
      <c r="M161" s="75"/>
      <c r="N161" s="75"/>
      <c r="O161" s="75"/>
    </row>
    <row r="162" spans="1:15" ht="13.5" customHeight="1">
      <c r="A162" s="3"/>
      <c r="B162" s="3"/>
      <c r="C162" s="75"/>
      <c r="D162" s="207"/>
      <c r="E162" s="207"/>
      <c r="F162" s="207"/>
      <c r="G162" s="207"/>
      <c r="H162" s="207"/>
      <c r="I162" s="75"/>
      <c r="J162" s="75"/>
      <c r="K162" s="75"/>
      <c r="L162" s="75"/>
      <c r="M162" s="75"/>
      <c r="N162" s="75"/>
      <c r="O162" s="75"/>
    </row>
    <row r="163" spans="1:15" ht="13.5" customHeight="1">
      <c r="A163" s="3"/>
      <c r="B163" s="3"/>
      <c r="C163" s="75"/>
      <c r="D163" s="207"/>
      <c r="E163" s="207"/>
      <c r="F163" s="207"/>
      <c r="G163" s="207"/>
      <c r="H163" s="207"/>
      <c r="I163" s="75"/>
      <c r="J163" s="75"/>
      <c r="K163" s="75"/>
      <c r="L163" s="75"/>
      <c r="M163" s="75"/>
      <c r="N163" s="75"/>
      <c r="O163" s="75"/>
    </row>
    <row r="164" spans="1:15" ht="13.5" customHeight="1">
      <c r="A164" s="3"/>
      <c r="B164" s="3"/>
      <c r="C164" s="75"/>
      <c r="D164" s="207"/>
      <c r="E164" s="207"/>
      <c r="F164" s="207"/>
      <c r="G164" s="207"/>
      <c r="H164" s="207"/>
      <c r="I164" s="75"/>
      <c r="J164" s="75"/>
      <c r="K164" s="75"/>
      <c r="L164" s="75"/>
      <c r="M164" s="75"/>
      <c r="N164" s="75"/>
      <c r="O164" s="75"/>
    </row>
    <row r="165" spans="1:15" ht="13.5" customHeight="1">
      <c r="A165" s="3"/>
      <c r="B165" s="3"/>
      <c r="C165" s="75"/>
      <c r="D165" s="207"/>
      <c r="E165" s="207"/>
      <c r="F165" s="207"/>
      <c r="G165" s="207"/>
      <c r="H165" s="207"/>
      <c r="I165" s="75"/>
      <c r="J165" s="75"/>
      <c r="K165" s="75"/>
      <c r="L165" s="75"/>
      <c r="M165" s="75"/>
      <c r="N165" s="75"/>
      <c r="O165" s="75"/>
    </row>
    <row r="166" spans="1:15" ht="13.5" customHeight="1">
      <c r="A166" s="3"/>
      <c r="B166" s="3"/>
      <c r="C166" s="75"/>
      <c r="D166" s="207"/>
      <c r="E166" s="207"/>
      <c r="F166" s="207"/>
      <c r="G166" s="207"/>
      <c r="H166" s="207"/>
      <c r="I166" s="75"/>
      <c r="J166" s="75"/>
      <c r="K166" s="75"/>
      <c r="L166" s="75"/>
      <c r="M166" s="75"/>
      <c r="N166" s="75"/>
      <c r="O166" s="75"/>
    </row>
    <row r="167" spans="1:15" ht="13.5" customHeight="1">
      <c r="A167" s="3"/>
      <c r="B167" s="3"/>
      <c r="C167" s="75"/>
      <c r="D167" s="207"/>
      <c r="E167" s="207"/>
      <c r="F167" s="207"/>
      <c r="G167" s="207"/>
      <c r="H167" s="207"/>
      <c r="I167" s="75"/>
      <c r="J167" s="75"/>
      <c r="K167" s="75"/>
      <c r="L167" s="75"/>
      <c r="M167" s="75"/>
      <c r="N167" s="75"/>
      <c r="O167" s="75"/>
    </row>
    <row r="168" spans="1:15" ht="13.5" customHeight="1">
      <c r="A168" s="3"/>
      <c r="B168" s="3"/>
      <c r="C168" s="75"/>
      <c r="D168" s="207"/>
      <c r="E168" s="207"/>
      <c r="F168" s="207"/>
      <c r="G168" s="207"/>
      <c r="H168" s="207"/>
      <c r="I168" s="75"/>
      <c r="J168" s="75"/>
      <c r="K168" s="75"/>
      <c r="L168" s="75"/>
      <c r="M168" s="75"/>
      <c r="N168" s="75"/>
      <c r="O168" s="75"/>
    </row>
    <row r="169" spans="1:15" ht="13.5" customHeight="1">
      <c r="A169" s="3"/>
      <c r="B169" s="3"/>
      <c r="C169" s="75"/>
      <c r="D169" s="207"/>
      <c r="E169" s="207"/>
      <c r="F169" s="207"/>
      <c r="G169" s="207"/>
      <c r="H169" s="207"/>
      <c r="I169" s="75"/>
      <c r="J169" s="75"/>
      <c r="K169" s="75"/>
      <c r="L169" s="75"/>
      <c r="M169" s="75"/>
      <c r="N169" s="75"/>
      <c r="O169" s="75"/>
    </row>
    <row r="170" spans="1:15" ht="13.5" customHeight="1">
      <c r="A170" s="3"/>
      <c r="B170" s="3"/>
      <c r="C170" s="75"/>
      <c r="D170" s="207"/>
      <c r="E170" s="207"/>
      <c r="F170" s="207"/>
      <c r="G170" s="207"/>
      <c r="H170" s="207"/>
      <c r="I170" s="75"/>
      <c r="J170" s="75"/>
      <c r="K170" s="75"/>
      <c r="L170" s="75"/>
      <c r="M170" s="75"/>
      <c r="N170" s="75"/>
      <c r="O170" s="75"/>
    </row>
    <row r="171" spans="1:15" ht="13.5" customHeight="1">
      <c r="A171" s="3"/>
      <c r="B171" s="3"/>
      <c r="C171" s="75"/>
      <c r="D171" s="207"/>
      <c r="E171" s="207"/>
      <c r="F171" s="207"/>
      <c r="G171" s="207"/>
      <c r="H171" s="207"/>
      <c r="I171" s="75"/>
      <c r="J171" s="75"/>
      <c r="K171" s="75"/>
      <c r="L171" s="75"/>
      <c r="M171" s="75"/>
      <c r="N171" s="75"/>
      <c r="O171" s="75"/>
    </row>
    <row r="172" spans="1:15" ht="13.5" customHeight="1">
      <c r="A172" s="3"/>
      <c r="B172" s="3"/>
      <c r="C172" s="75"/>
      <c r="D172" s="207"/>
      <c r="E172" s="207"/>
      <c r="F172" s="207"/>
      <c r="G172" s="207"/>
      <c r="H172" s="207"/>
      <c r="I172" s="75"/>
      <c r="J172" s="75"/>
      <c r="K172" s="75"/>
      <c r="L172" s="75"/>
      <c r="M172" s="75"/>
      <c r="N172" s="75"/>
      <c r="O172" s="75"/>
    </row>
    <row r="173" spans="1:15" ht="13.5" customHeight="1">
      <c r="A173" s="3"/>
      <c r="B173" s="3"/>
      <c r="C173" s="75"/>
      <c r="D173" s="207"/>
      <c r="E173" s="207"/>
      <c r="F173" s="207"/>
      <c r="G173" s="207"/>
      <c r="H173" s="207"/>
      <c r="I173" s="75"/>
      <c r="J173" s="75"/>
      <c r="K173" s="75"/>
      <c r="L173" s="75"/>
      <c r="M173" s="75"/>
      <c r="N173" s="75"/>
      <c r="O173" s="75"/>
    </row>
    <row r="174" spans="1:15" ht="13.5" customHeight="1">
      <c r="A174" s="3"/>
      <c r="B174" s="3"/>
      <c r="C174" s="75"/>
      <c r="D174" s="207"/>
      <c r="E174" s="207"/>
      <c r="F174" s="207"/>
      <c r="G174" s="207"/>
      <c r="H174" s="207"/>
      <c r="I174" s="75"/>
      <c r="J174" s="75"/>
      <c r="K174" s="75"/>
      <c r="L174" s="75"/>
      <c r="M174" s="75"/>
      <c r="N174" s="75"/>
      <c r="O174" s="75"/>
    </row>
    <row r="175" spans="1:15" ht="13.5" customHeight="1">
      <c r="A175" s="3"/>
      <c r="B175" s="3"/>
      <c r="C175" s="75"/>
      <c r="D175" s="207"/>
      <c r="E175" s="207"/>
      <c r="F175" s="207"/>
      <c r="G175" s="207"/>
      <c r="H175" s="207"/>
      <c r="I175" s="75"/>
      <c r="J175" s="75"/>
      <c r="K175" s="75"/>
      <c r="L175" s="75"/>
      <c r="M175" s="75"/>
      <c r="N175" s="75"/>
      <c r="O175" s="75"/>
    </row>
    <row r="176" spans="1:15" ht="13.5" customHeight="1">
      <c r="A176" s="3"/>
      <c r="B176" s="3"/>
      <c r="C176" s="75"/>
      <c r="D176" s="207"/>
      <c r="E176" s="207"/>
      <c r="F176" s="207"/>
      <c r="G176" s="207"/>
      <c r="H176" s="207"/>
      <c r="I176" s="75"/>
      <c r="J176" s="75"/>
      <c r="K176" s="75"/>
      <c r="L176" s="75"/>
      <c r="M176" s="75"/>
      <c r="N176" s="75"/>
      <c r="O176" s="75"/>
    </row>
    <row r="177" spans="1:15" ht="13.5" customHeight="1">
      <c r="A177" s="3"/>
      <c r="B177" s="3"/>
      <c r="C177" s="75"/>
      <c r="D177" s="207"/>
      <c r="E177" s="207"/>
      <c r="F177" s="207"/>
      <c r="G177" s="207"/>
      <c r="H177" s="207"/>
      <c r="I177" s="75"/>
      <c r="J177" s="75"/>
      <c r="K177" s="75"/>
      <c r="L177" s="75"/>
      <c r="M177" s="75"/>
      <c r="N177" s="75"/>
      <c r="O177" s="75"/>
    </row>
    <row r="178" spans="1:15" ht="13.5" customHeight="1">
      <c r="A178" s="3"/>
      <c r="B178" s="3"/>
      <c r="C178" s="75"/>
      <c r="D178" s="207"/>
      <c r="E178" s="207"/>
      <c r="F178" s="207"/>
      <c r="G178" s="207"/>
      <c r="H178" s="207"/>
      <c r="I178" s="75"/>
      <c r="J178" s="75"/>
      <c r="K178" s="75"/>
      <c r="L178" s="75"/>
      <c r="M178" s="75"/>
      <c r="N178" s="75"/>
      <c r="O178" s="75"/>
    </row>
    <row r="179" spans="1:15" ht="13.5" customHeight="1">
      <c r="A179" s="3"/>
      <c r="B179" s="3"/>
      <c r="C179" s="75"/>
      <c r="D179" s="207"/>
      <c r="E179" s="207"/>
      <c r="F179" s="207"/>
      <c r="G179" s="207"/>
      <c r="H179" s="207"/>
      <c r="I179" s="75"/>
      <c r="J179" s="75"/>
      <c r="K179" s="75"/>
      <c r="L179" s="75"/>
      <c r="M179" s="75"/>
      <c r="N179" s="75"/>
      <c r="O179" s="75"/>
    </row>
    <row r="180" spans="1:15" ht="13.5" customHeight="1">
      <c r="A180" s="3"/>
      <c r="B180" s="3"/>
      <c r="C180" s="75"/>
      <c r="D180" s="207"/>
      <c r="E180" s="207"/>
      <c r="F180" s="207"/>
      <c r="G180" s="207"/>
      <c r="H180" s="207"/>
      <c r="I180" s="75"/>
      <c r="J180" s="75"/>
      <c r="K180" s="75"/>
      <c r="L180" s="75"/>
      <c r="M180" s="75"/>
      <c r="N180" s="75"/>
      <c r="O180" s="75"/>
    </row>
    <row r="181" spans="1:15" ht="13.5" customHeight="1">
      <c r="A181" s="3"/>
      <c r="B181" s="3"/>
      <c r="C181" s="75"/>
      <c r="D181" s="207"/>
      <c r="E181" s="207"/>
      <c r="F181" s="207"/>
      <c r="G181" s="207"/>
      <c r="H181" s="207"/>
      <c r="I181" s="75"/>
      <c r="J181" s="75"/>
      <c r="K181" s="75"/>
      <c r="L181" s="75"/>
      <c r="M181" s="75"/>
      <c r="N181" s="75"/>
      <c r="O181" s="75"/>
    </row>
    <row r="182" spans="1:15" ht="13.5" customHeight="1">
      <c r="A182" s="3"/>
      <c r="B182" s="3"/>
      <c r="C182" s="75"/>
      <c r="D182" s="207"/>
      <c r="E182" s="207"/>
      <c r="F182" s="207"/>
      <c r="G182" s="207"/>
      <c r="H182" s="207"/>
      <c r="I182" s="75"/>
      <c r="J182" s="75"/>
      <c r="K182" s="75"/>
      <c r="L182" s="75"/>
      <c r="M182" s="75"/>
      <c r="N182" s="75"/>
      <c r="O182" s="75"/>
    </row>
    <row r="183" spans="1:15" ht="13.5" customHeight="1">
      <c r="A183" s="3"/>
      <c r="B183" s="3"/>
      <c r="C183" s="75"/>
      <c r="D183" s="207"/>
      <c r="E183" s="207"/>
      <c r="F183" s="207"/>
      <c r="G183" s="207"/>
      <c r="H183" s="207"/>
      <c r="I183" s="75"/>
      <c r="J183" s="75"/>
      <c r="K183" s="75"/>
      <c r="L183" s="75"/>
      <c r="M183" s="75"/>
      <c r="N183" s="75"/>
      <c r="O183" s="75"/>
    </row>
    <row r="184" spans="1:15" ht="13.5" customHeight="1">
      <c r="A184" s="3"/>
      <c r="B184" s="3"/>
      <c r="C184" s="75"/>
      <c r="D184" s="207"/>
      <c r="E184" s="207"/>
      <c r="F184" s="207"/>
      <c r="G184" s="207"/>
      <c r="H184" s="207"/>
      <c r="I184" s="75"/>
      <c r="J184" s="75"/>
      <c r="K184" s="75"/>
      <c r="L184" s="75"/>
      <c r="M184" s="75"/>
      <c r="N184" s="75"/>
      <c r="O184" s="75"/>
    </row>
    <row r="185" spans="1:15" ht="13.5" customHeight="1">
      <c r="A185" s="3"/>
      <c r="B185" s="3"/>
      <c r="C185" s="75"/>
      <c r="D185" s="207"/>
      <c r="E185" s="207"/>
      <c r="F185" s="207"/>
      <c r="G185" s="207"/>
      <c r="H185" s="207"/>
      <c r="I185" s="75"/>
      <c r="J185" s="75"/>
      <c r="K185" s="75"/>
      <c r="L185" s="75"/>
      <c r="M185" s="75"/>
      <c r="N185" s="75"/>
      <c r="O185" s="75"/>
    </row>
    <row r="186" spans="1:15" ht="13.5" customHeight="1">
      <c r="A186" s="3"/>
      <c r="B186" s="3"/>
      <c r="C186" s="75"/>
      <c r="D186" s="207"/>
      <c r="E186" s="207"/>
      <c r="F186" s="207"/>
      <c r="G186" s="207"/>
      <c r="H186" s="207"/>
      <c r="I186" s="75"/>
      <c r="J186" s="75"/>
      <c r="K186" s="75"/>
      <c r="L186" s="75"/>
      <c r="M186" s="75"/>
      <c r="N186" s="75"/>
      <c r="O186" s="75"/>
    </row>
    <row r="187" spans="1:15" ht="13.5" customHeight="1">
      <c r="A187" s="3"/>
      <c r="B187" s="3"/>
      <c r="C187" s="75"/>
      <c r="D187" s="207"/>
      <c r="E187" s="207"/>
      <c r="F187" s="207"/>
      <c r="G187" s="207"/>
      <c r="H187" s="207"/>
      <c r="I187" s="75"/>
      <c r="J187" s="75"/>
      <c r="K187" s="75"/>
      <c r="L187" s="75"/>
      <c r="M187" s="75"/>
      <c r="N187" s="75"/>
      <c r="O187" s="75"/>
    </row>
    <row r="188" spans="1:15" ht="13.5" customHeight="1">
      <c r="A188" s="3"/>
      <c r="B188" s="3"/>
      <c r="C188" s="75"/>
      <c r="D188" s="207"/>
      <c r="E188" s="207"/>
      <c r="F188" s="207"/>
      <c r="G188" s="207"/>
      <c r="H188" s="207"/>
      <c r="I188" s="75"/>
      <c r="J188" s="75"/>
      <c r="K188" s="75"/>
      <c r="L188" s="75"/>
      <c r="M188" s="75"/>
      <c r="N188" s="75"/>
      <c r="O188" s="75"/>
    </row>
    <row r="189" spans="1:15" ht="13.5" customHeight="1">
      <c r="A189" s="3"/>
      <c r="B189" s="3"/>
      <c r="C189" s="75"/>
      <c r="D189" s="207"/>
      <c r="E189" s="207"/>
      <c r="F189" s="207"/>
      <c r="G189" s="207"/>
      <c r="H189" s="207"/>
      <c r="I189" s="75"/>
      <c r="J189" s="75"/>
      <c r="K189" s="75"/>
      <c r="L189" s="75"/>
      <c r="M189" s="75"/>
      <c r="N189" s="75"/>
      <c r="O189" s="75"/>
    </row>
    <row r="190" spans="1:15" ht="13.5" customHeight="1">
      <c r="A190" s="3"/>
      <c r="B190" s="3"/>
      <c r="C190" s="75"/>
      <c r="D190" s="207"/>
      <c r="E190" s="207"/>
      <c r="F190" s="207"/>
      <c r="G190" s="207"/>
      <c r="H190" s="207"/>
      <c r="I190" s="75"/>
      <c r="J190" s="75"/>
      <c r="K190" s="75"/>
      <c r="L190" s="75"/>
      <c r="M190" s="75"/>
      <c r="N190" s="75"/>
      <c r="O190" s="75"/>
    </row>
    <row r="191" spans="1:15" ht="13.5" customHeight="1">
      <c r="A191" s="3"/>
      <c r="B191" s="3"/>
      <c r="C191" s="75"/>
      <c r="D191" s="207"/>
      <c r="E191" s="207"/>
      <c r="F191" s="207"/>
      <c r="G191" s="207"/>
      <c r="H191" s="207"/>
      <c r="I191" s="75"/>
      <c r="J191" s="75"/>
      <c r="K191" s="75"/>
      <c r="L191" s="75"/>
      <c r="M191" s="75"/>
      <c r="N191" s="75"/>
      <c r="O191" s="75"/>
    </row>
    <row r="192" spans="1:15" ht="13.5" customHeight="1">
      <c r="A192" s="3"/>
      <c r="B192" s="3"/>
      <c r="C192" s="75"/>
      <c r="D192" s="207"/>
      <c r="E192" s="207"/>
      <c r="F192" s="207"/>
      <c r="G192" s="207"/>
      <c r="H192" s="207"/>
      <c r="I192" s="75"/>
      <c r="J192" s="75"/>
      <c r="K192" s="75"/>
      <c r="L192" s="75"/>
      <c r="M192" s="75"/>
      <c r="N192" s="75"/>
      <c r="O192" s="75"/>
    </row>
    <row r="193" spans="1:15" ht="13.5" customHeight="1">
      <c r="A193" s="3"/>
      <c r="B193" s="3"/>
      <c r="C193" s="75"/>
      <c r="D193" s="207"/>
      <c r="E193" s="207"/>
      <c r="F193" s="207"/>
      <c r="G193" s="207"/>
      <c r="H193" s="207"/>
      <c r="I193" s="75"/>
      <c r="J193" s="75"/>
      <c r="K193" s="75"/>
      <c r="L193" s="75"/>
      <c r="M193" s="75"/>
      <c r="N193" s="75"/>
      <c r="O193" s="75"/>
    </row>
    <row r="194" spans="1:15" ht="13.5" customHeight="1">
      <c r="A194" s="3"/>
      <c r="B194" s="3"/>
      <c r="C194" s="75"/>
      <c r="D194" s="207"/>
      <c r="E194" s="207"/>
      <c r="F194" s="207"/>
      <c r="G194" s="207"/>
      <c r="H194" s="207"/>
      <c r="I194" s="75"/>
      <c r="J194" s="75"/>
      <c r="K194" s="75"/>
      <c r="L194" s="75"/>
      <c r="M194" s="75"/>
      <c r="N194" s="75"/>
      <c r="O194" s="75"/>
    </row>
    <row r="195" spans="1:15" ht="13.5" customHeight="1">
      <c r="A195" s="3"/>
      <c r="B195" s="3"/>
      <c r="C195" s="75"/>
      <c r="D195" s="207"/>
      <c r="E195" s="207"/>
      <c r="F195" s="207"/>
      <c r="G195" s="207"/>
      <c r="H195" s="207"/>
      <c r="I195" s="75"/>
      <c r="J195" s="75"/>
      <c r="K195" s="75"/>
      <c r="L195" s="75"/>
      <c r="M195" s="75"/>
      <c r="N195" s="75"/>
      <c r="O195" s="75"/>
    </row>
    <row r="196" spans="1:15" ht="13.5" customHeight="1">
      <c r="A196" s="3"/>
      <c r="B196" s="3"/>
      <c r="C196" s="75"/>
      <c r="D196" s="207"/>
      <c r="E196" s="207"/>
      <c r="F196" s="207"/>
      <c r="G196" s="207"/>
      <c r="H196" s="207"/>
      <c r="I196" s="75"/>
      <c r="J196" s="75"/>
      <c r="K196" s="75"/>
      <c r="L196" s="75"/>
      <c r="M196" s="75"/>
      <c r="N196" s="75"/>
      <c r="O196" s="75"/>
    </row>
    <row r="197" spans="1:15" ht="13.5" customHeight="1">
      <c r="A197" s="3"/>
      <c r="B197" s="3"/>
      <c r="C197" s="75"/>
      <c r="D197" s="207"/>
      <c r="E197" s="207"/>
      <c r="F197" s="207"/>
      <c r="G197" s="207"/>
      <c r="H197" s="207"/>
      <c r="I197" s="75"/>
      <c r="J197" s="75"/>
      <c r="K197" s="75"/>
      <c r="L197" s="75"/>
      <c r="M197" s="75"/>
      <c r="N197" s="75"/>
      <c r="O197" s="75"/>
    </row>
    <row r="198" spans="1:15" ht="13.5" customHeight="1">
      <c r="A198" s="3"/>
      <c r="B198" s="3"/>
      <c r="C198" s="75"/>
      <c r="D198" s="207"/>
      <c r="E198" s="207"/>
      <c r="F198" s="207"/>
      <c r="G198" s="207"/>
      <c r="H198" s="207"/>
      <c r="I198" s="75"/>
      <c r="J198" s="75"/>
      <c r="K198" s="75"/>
      <c r="L198" s="75"/>
      <c r="M198" s="75"/>
      <c r="N198" s="75"/>
      <c r="O198" s="75"/>
    </row>
    <row r="199" spans="1:15" ht="13.5" customHeight="1">
      <c r="A199" s="3"/>
      <c r="B199" s="3"/>
      <c r="C199" s="75"/>
      <c r="D199" s="207"/>
      <c r="E199" s="207"/>
      <c r="F199" s="207"/>
      <c r="G199" s="207"/>
      <c r="H199" s="207"/>
      <c r="I199" s="75"/>
      <c r="J199" s="75"/>
      <c r="K199" s="75"/>
      <c r="L199" s="75"/>
      <c r="M199" s="75"/>
      <c r="N199" s="75"/>
      <c r="O199" s="75"/>
    </row>
    <row r="200" spans="1:15" ht="13.5" customHeight="1">
      <c r="A200" s="3"/>
      <c r="B200" s="3"/>
      <c r="C200" s="75"/>
      <c r="D200" s="207"/>
      <c r="E200" s="207"/>
      <c r="F200" s="207"/>
      <c r="G200" s="207"/>
      <c r="H200" s="207"/>
      <c r="I200" s="75"/>
      <c r="J200" s="75"/>
      <c r="K200" s="75"/>
      <c r="L200" s="75"/>
      <c r="M200" s="75"/>
      <c r="N200" s="75"/>
      <c r="O200" s="75"/>
    </row>
    <row r="201" spans="1:15" ht="13.5" customHeight="1">
      <c r="A201" s="3"/>
      <c r="B201" s="3"/>
      <c r="C201" s="75"/>
      <c r="D201" s="207"/>
      <c r="E201" s="207"/>
      <c r="F201" s="207"/>
      <c r="G201" s="207"/>
      <c r="H201" s="207"/>
      <c r="I201" s="75"/>
      <c r="J201" s="75"/>
      <c r="K201" s="75"/>
      <c r="L201" s="75"/>
      <c r="M201" s="75"/>
      <c r="N201" s="75"/>
      <c r="O201" s="75"/>
    </row>
    <row r="202" spans="1:15" ht="13.5" customHeight="1">
      <c r="A202" s="3"/>
      <c r="B202" s="3"/>
      <c r="C202" s="75"/>
      <c r="D202" s="207"/>
      <c r="E202" s="207"/>
      <c r="F202" s="207"/>
      <c r="G202" s="207"/>
      <c r="H202" s="207"/>
      <c r="I202" s="75"/>
      <c r="J202" s="75"/>
      <c r="K202" s="75"/>
      <c r="L202" s="75"/>
      <c r="M202" s="75"/>
      <c r="N202" s="75"/>
      <c r="O202" s="75"/>
    </row>
    <row r="203" spans="1:15" ht="13.5" customHeight="1">
      <c r="A203" s="3"/>
      <c r="B203" s="3"/>
      <c r="C203" s="75"/>
      <c r="D203" s="207"/>
      <c r="E203" s="207"/>
      <c r="F203" s="207"/>
      <c r="G203" s="207"/>
      <c r="H203" s="207"/>
      <c r="I203" s="75"/>
      <c r="J203" s="75"/>
      <c r="K203" s="75"/>
      <c r="L203" s="75"/>
      <c r="M203" s="75"/>
      <c r="N203" s="75"/>
      <c r="O203" s="75"/>
    </row>
    <row r="204" spans="1:15" ht="13.5" customHeight="1">
      <c r="A204" s="3"/>
      <c r="B204" s="3"/>
      <c r="C204" s="75"/>
      <c r="D204" s="207"/>
      <c r="E204" s="207"/>
      <c r="F204" s="207"/>
      <c r="G204" s="207"/>
      <c r="H204" s="207"/>
      <c r="I204" s="75"/>
      <c r="J204" s="75"/>
      <c r="K204" s="75"/>
      <c r="L204" s="75"/>
      <c r="M204" s="75"/>
      <c r="N204" s="75"/>
      <c r="O204" s="75"/>
    </row>
    <row r="205" spans="1:15" ht="13.5" customHeight="1">
      <c r="A205" s="3"/>
      <c r="B205" s="3"/>
      <c r="C205" s="75"/>
      <c r="D205" s="207"/>
      <c r="E205" s="207"/>
      <c r="F205" s="207"/>
      <c r="G205" s="207"/>
      <c r="H205" s="207"/>
      <c r="I205" s="75"/>
      <c r="J205" s="75"/>
      <c r="K205" s="75"/>
      <c r="L205" s="75"/>
      <c r="M205" s="75"/>
      <c r="N205" s="75"/>
      <c r="O205" s="75"/>
    </row>
    <row r="206" spans="1:15" ht="13.5" customHeight="1">
      <c r="A206" s="3"/>
      <c r="B206" s="3"/>
      <c r="C206" s="75"/>
      <c r="D206" s="207"/>
      <c r="E206" s="207"/>
      <c r="F206" s="207"/>
      <c r="G206" s="207"/>
      <c r="H206" s="207"/>
      <c r="I206" s="75"/>
      <c r="J206" s="75"/>
      <c r="K206" s="75"/>
      <c r="L206" s="75"/>
      <c r="M206" s="75"/>
      <c r="N206" s="75"/>
      <c r="O206" s="75"/>
    </row>
    <row r="207" spans="1:15" ht="13.5" customHeight="1">
      <c r="A207" s="3"/>
      <c r="B207" s="3"/>
      <c r="C207" s="75"/>
      <c r="D207" s="207"/>
      <c r="E207" s="207"/>
      <c r="F207" s="207"/>
      <c r="G207" s="207"/>
      <c r="H207" s="207"/>
      <c r="I207" s="75"/>
      <c r="J207" s="75"/>
      <c r="K207" s="75"/>
      <c r="L207" s="75"/>
      <c r="M207" s="75"/>
      <c r="N207" s="75"/>
      <c r="O207" s="75"/>
    </row>
    <row r="208" spans="1:15" ht="13.5" customHeight="1">
      <c r="A208" s="3"/>
      <c r="B208" s="3"/>
      <c r="C208" s="75"/>
      <c r="D208" s="207"/>
      <c r="E208" s="207"/>
      <c r="F208" s="207"/>
      <c r="G208" s="207"/>
      <c r="H208" s="207"/>
      <c r="I208" s="75"/>
      <c r="J208" s="75"/>
      <c r="K208" s="75"/>
      <c r="L208" s="75"/>
      <c r="M208" s="75"/>
      <c r="N208" s="75"/>
      <c r="O208" s="75"/>
    </row>
    <row r="209" spans="1:15" ht="13.5" customHeight="1">
      <c r="A209" s="3"/>
      <c r="B209" s="3"/>
      <c r="C209" s="75"/>
      <c r="D209" s="207"/>
      <c r="E209" s="207"/>
      <c r="F209" s="207"/>
      <c r="G209" s="207"/>
      <c r="H209" s="207"/>
      <c r="I209" s="75"/>
      <c r="J209" s="75"/>
      <c r="K209" s="75"/>
      <c r="L209" s="75"/>
      <c r="M209" s="75"/>
      <c r="N209" s="75"/>
      <c r="O209" s="75"/>
    </row>
    <row r="210" spans="1:15" ht="13.5" customHeight="1">
      <c r="A210" s="3"/>
      <c r="B210" s="3"/>
      <c r="C210" s="75"/>
      <c r="D210" s="207"/>
      <c r="E210" s="207"/>
      <c r="F210" s="207"/>
      <c r="G210" s="207"/>
      <c r="H210" s="207"/>
      <c r="I210" s="75"/>
      <c r="J210" s="75"/>
      <c r="K210" s="75"/>
      <c r="L210" s="75"/>
      <c r="M210" s="75"/>
      <c r="N210" s="75"/>
      <c r="O210" s="75"/>
    </row>
    <row r="211" spans="1:15" ht="13.5" customHeight="1">
      <c r="A211" s="3"/>
      <c r="B211" s="3"/>
      <c r="C211" s="75"/>
      <c r="D211" s="207"/>
      <c r="E211" s="207"/>
      <c r="F211" s="207"/>
      <c r="G211" s="207"/>
      <c r="H211" s="207"/>
      <c r="I211" s="75"/>
      <c r="J211" s="75"/>
      <c r="K211" s="75"/>
      <c r="L211" s="75"/>
      <c r="M211" s="75"/>
      <c r="N211" s="75"/>
      <c r="O211" s="75"/>
    </row>
    <row r="212" spans="1:15" ht="13.5" customHeight="1">
      <c r="A212" s="3"/>
      <c r="B212" s="3"/>
      <c r="C212" s="75"/>
      <c r="D212" s="207"/>
      <c r="E212" s="207"/>
      <c r="F212" s="207"/>
      <c r="G212" s="207"/>
      <c r="H212" s="207"/>
      <c r="I212" s="75"/>
      <c r="J212" s="75"/>
      <c r="K212" s="75"/>
      <c r="L212" s="75"/>
      <c r="M212" s="75"/>
      <c r="N212" s="75"/>
      <c r="O212" s="75"/>
    </row>
    <row r="213" spans="1:15" ht="13.5" customHeight="1">
      <c r="A213" s="3"/>
      <c r="B213" s="3"/>
      <c r="C213" s="75"/>
      <c r="D213" s="207"/>
      <c r="E213" s="207"/>
      <c r="F213" s="207"/>
      <c r="G213" s="207"/>
      <c r="H213" s="207"/>
      <c r="I213" s="75"/>
      <c r="J213" s="75"/>
      <c r="K213" s="75"/>
      <c r="L213" s="75"/>
      <c r="M213" s="75"/>
      <c r="N213" s="75"/>
      <c r="O213" s="75"/>
    </row>
    <row r="214" spans="1:15" ht="13.5" customHeight="1">
      <c r="A214" s="3"/>
      <c r="B214" s="3"/>
      <c r="C214" s="75"/>
      <c r="D214" s="207"/>
      <c r="E214" s="207"/>
      <c r="F214" s="207"/>
      <c r="G214" s="207"/>
      <c r="H214" s="207"/>
      <c r="I214" s="75"/>
      <c r="J214" s="75"/>
      <c r="K214" s="75"/>
      <c r="L214" s="75"/>
      <c r="M214" s="75"/>
      <c r="N214" s="75"/>
      <c r="O214" s="75"/>
    </row>
    <row r="215" spans="1:15" ht="13.5" customHeight="1">
      <c r="A215" s="3"/>
      <c r="B215" s="3"/>
      <c r="C215" s="75"/>
      <c r="D215" s="207"/>
      <c r="E215" s="207"/>
      <c r="F215" s="207"/>
      <c r="G215" s="207"/>
      <c r="H215" s="207"/>
      <c r="I215" s="75"/>
      <c r="J215" s="75"/>
      <c r="K215" s="75"/>
      <c r="L215" s="75"/>
      <c r="M215" s="75"/>
      <c r="N215" s="75"/>
      <c r="O215" s="75"/>
    </row>
    <row r="216" spans="1:15" ht="13.5" customHeight="1">
      <c r="A216" s="3"/>
      <c r="B216" s="3"/>
      <c r="C216" s="75"/>
      <c r="D216" s="207"/>
      <c r="E216" s="207"/>
      <c r="F216" s="207"/>
      <c r="G216" s="207"/>
      <c r="H216" s="207"/>
      <c r="I216" s="75"/>
      <c r="J216" s="75"/>
      <c r="K216" s="75"/>
      <c r="L216" s="75"/>
      <c r="M216" s="75"/>
      <c r="N216" s="75"/>
      <c r="O216" s="75"/>
    </row>
    <row r="217" spans="1:15" ht="13.5" customHeight="1">
      <c r="A217" s="3"/>
      <c r="B217" s="3"/>
      <c r="C217" s="75"/>
      <c r="D217" s="207"/>
      <c r="E217" s="207"/>
      <c r="F217" s="207"/>
      <c r="G217" s="207"/>
      <c r="H217" s="207"/>
      <c r="I217" s="75"/>
      <c r="J217" s="75"/>
      <c r="K217" s="75"/>
      <c r="L217" s="75"/>
      <c r="M217" s="75"/>
      <c r="N217" s="75"/>
      <c r="O217" s="75"/>
    </row>
    <row r="218" spans="1:15" ht="13.5" customHeight="1">
      <c r="A218" s="3"/>
      <c r="B218" s="3"/>
      <c r="C218" s="75"/>
      <c r="D218" s="207"/>
      <c r="E218" s="207"/>
      <c r="F218" s="207"/>
      <c r="G218" s="207"/>
      <c r="H218" s="207"/>
      <c r="I218" s="75"/>
      <c r="J218" s="75"/>
      <c r="K218" s="75"/>
      <c r="L218" s="75"/>
      <c r="M218" s="75"/>
      <c r="N218" s="75"/>
      <c r="O218" s="75"/>
    </row>
    <row r="219" spans="1:15" ht="13.5" customHeight="1">
      <c r="A219" s="3"/>
      <c r="B219" s="3"/>
      <c r="C219" s="75"/>
      <c r="D219" s="207"/>
      <c r="E219" s="207"/>
      <c r="F219" s="207"/>
      <c r="G219" s="207"/>
      <c r="H219" s="207"/>
      <c r="I219" s="75"/>
      <c r="J219" s="75"/>
      <c r="K219" s="75"/>
      <c r="L219" s="75"/>
      <c r="M219" s="75"/>
      <c r="N219" s="75"/>
      <c r="O219" s="75"/>
    </row>
    <row r="220" spans="1:15" ht="13.5" customHeight="1">
      <c r="A220" s="3"/>
      <c r="B220" s="3"/>
      <c r="C220" s="75"/>
      <c r="D220" s="207"/>
      <c r="E220" s="207"/>
      <c r="F220" s="207"/>
      <c r="G220" s="207"/>
      <c r="H220" s="207"/>
      <c r="I220" s="75"/>
      <c r="J220" s="75"/>
      <c r="K220" s="75"/>
      <c r="L220" s="75"/>
      <c r="M220" s="75"/>
      <c r="N220" s="75"/>
      <c r="O220" s="75"/>
    </row>
    <row r="221" spans="1:15" ht="13.5" customHeight="1">
      <c r="A221" s="3"/>
      <c r="B221" s="3"/>
      <c r="C221" s="75"/>
      <c r="D221" s="207"/>
      <c r="E221" s="207"/>
      <c r="F221" s="207"/>
      <c r="G221" s="207"/>
      <c r="H221" s="207"/>
      <c r="I221" s="75"/>
      <c r="J221" s="75"/>
      <c r="K221" s="75"/>
      <c r="L221" s="75"/>
      <c r="M221" s="75"/>
      <c r="N221" s="75"/>
      <c r="O221" s="75"/>
    </row>
    <row r="222" spans="1:15" ht="13.5" customHeight="1">
      <c r="A222" s="3"/>
      <c r="B222" s="3"/>
      <c r="C222" s="75"/>
      <c r="D222" s="207"/>
      <c r="E222" s="207"/>
      <c r="F222" s="207"/>
      <c r="G222" s="207"/>
      <c r="H222" s="207"/>
      <c r="I222" s="75"/>
      <c r="J222" s="75"/>
      <c r="K222" s="75"/>
      <c r="L222" s="75"/>
      <c r="M222" s="75"/>
      <c r="N222" s="75"/>
      <c r="O222" s="75"/>
    </row>
    <row r="223" spans="1:15" ht="13.5" customHeight="1">
      <c r="A223" s="3"/>
      <c r="B223" s="3"/>
      <c r="C223" s="75"/>
      <c r="D223" s="207"/>
      <c r="E223" s="207"/>
      <c r="F223" s="207"/>
      <c r="G223" s="207"/>
      <c r="H223" s="207"/>
      <c r="I223" s="75"/>
      <c r="J223" s="75"/>
      <c r="K223" s="75"/>
      <c r="L223" s="75"/>
      <c r="M223" s="75"/>
      <c r="N223" s="75"/>
      <c r="O223" s="75"/>
    </row>
    <row r="224" spans="1:15" ht="13.5" customHeight="1">
      <c r="A224" s="3"/>
      <c r="B224" s="3"/>
      <c r="C224" s="75"/>
      <c r="D224" s="207"/>
      <c r="E224" s="207"/>
      <c r="F224" s="207"/>
      <c r="G224" s="207"/>
      <c r="H224" s="207"/>
      <c r="I224" s="75"/>
      <c r="J224" s="75"/>
      <c r="K224" s="75"/>
      <c r="L224" s="75"/>
      <c r="M224" s="75"/>
      <c r="N224" s="75"/>
      <c r="O224" s="75"/>
    </row>
    <row r="225" spans="1:15" ht="13.5" customHeight="1">
      <c r="A225" s="3"/>
      <c r="B225" s="3"/>
      <c r="C225" s="75"/>
      <c r="D225" s="207"/>
      <c r="E225" s="207"/>
      <c r="F225" s="207"/>
      <c r="G225" s="207"/>
      <c r="H225" s="207"/>
      <c r="I225" s="75"/>
      <c r="J225" s="75"/>
      <c r="K225" s="75"/>
      <c r="L225" s="75"/>
      <c r="M225" s="75"/>
      <c r="N225" s="75"/>
      <c r="O225" s="75"/>
    </row>
    <row r="226" spans="1:15" ht="13.5" customHeight="1">
      <c r="A226" s="3"/>
      <c r="B226" s="3"/>
      <c r="C226" s="75"/>
      <c r="D226" s="207"/>
      <c r="E226" s="207"/>
      <c r="F226" s="207"/>
      <c r="G226" s="207"/>
      <c r="H226" s="207"/>
      <c r="I226" s="75"/>
      <c r="J226" s="75"/>
      <c r="K226" s="75"/>
      <c r="L226" s="75"/>
      <c r="M226" s="75"/>
      <c r="N226" s="75"/>
      <c r="O226" s="75"/>
    </row>
    <row r="227" spans="1:15" ht="13.5" customHeight="1">
      <c r="A227" s="3"/>
      <c r="B227" s="3"/>
      <c r="C227" s="75"/>
      <c r="D227" s="207"/>
      <c r="E227" s="207"/>
      <c r="F227" s="207"/>
      <c r="G227" s="207"/>
      <c r="H227" s="207"/>
      <c r="I227" s="75"/>
      <c r="J227" s="75"/>
      <c r="K227" s="75"/>
      <c r="L227" s="75"/>
      <c r="M227" s="75"/>
      <c r="N227" s="75"/>
      <c r="O227" s="75"/>
    </row>
    <row r="228" spans="1:15" ht="13.5" customHeight="1">
      <c r="A228" s="3"/>
      <c r="B228" s="3"/>
      <c r="C228" s="75"/>
      <c r="D228" s="207"/>
      <c r="E228" s="207"/>
      <c r="F228" s="207"/>
      <c r="G228" s="207"/>
      <c r="H228" s="207"/>
      <c r="I228" s="75"/>
      <c r="J228" s="75"/>
      <c r="K228" s="75"/>
      <c r="L228" s="75"/>
      <c r="M228" s="75"/>
      <c r="N228" s="75"/>
      <c r="O228" s="75"/>
    </row>
    <row r="229" spans="1:15" ht="13.5" customHeight="1">
      <c r="A229" s="3"/>
      <c r="B229" s="3"/>
      <c r="C229" s="75"/>
      <c r="D229" s="207"/>
      <c r="E229" s="207"/>
      <c r="F229" s="207"/>
      <c r="G229" s="207"/>
      <c r="H229" s="207"/>
      <c r="I229" s="75"/>
      <c r="J229" s="75"/>
      <c r="K229" s="75"/>
      <c r="L229" s="75"/>
      <c r="M229" s="75"/>
      <c r="N229" s="75"/>
      <c r="O229" s="75"/>
    </row>
    <row r="230" spans="1:15" ht="13.5" customHeight="1">
      <c r="A230" s="3"/>
      <c r="B230" s="3"/>
      <c r="C230" s="75"/>
      <c r="D230" s="207"/>
      <c r="E230" s="207"/>
      <c r="F230" s="207"/>
      <c r="G230" s="207"/>
      <c r="H230" s="207"/>
      <c r="I230" s="75"/>
      <c r="J230" s="75"/>
      <c r="K230" s="75"/>
      <c r="L230" s="75"/>
      <c r="M230" s="75"/>
      <c r="N230" s="75"/>
      <c r="O230" s="75"/>
    </row>
    <row r="231" spans="1:15" ht="13.5" customHeight="1">
      <c r="A231" s="3"/>
      <c r="B231" s="3"/>
      <c r="C231" s="75"/>
      <c r="D231" s="207"/>
      <c r="E231" s="207"/>
      <c r="F231" s="207"/>
      <c r="G231" s="207"/>
      <c r="H231" s="207"/>
      <c r="I231" s="75"/>
      <c r="J231" s="75"/>
      <c r="K231" s="75"/>
      <c r="L231" s="75"/>
      <c r="M231" s="75"/>
      <c r="N231" s="75"/>
      <c r="O231" s="75"/>
    </row>
    <row r="232" spans="1:15" ht="13.5" customHeight="1">
      <c r="A232" s="3"/>
      <c r="B232" s="3"/>
      <c r="C232" s="75"/>
      <c r="D232" s="207"/>
      <c r="E232" s="207"/>
      <c r="F232" s="207"/>
      <c r="G232" s="207"/>
      <c r="H232" s="207"/>
      <c r="I232" s="75"/>
      <c r="J232" s="75"/>
      <c r="K232" s="75"/>
      <c r="L232" s="75"/>
      <c r="M232" s="75"/>
      <c r="N232" s="75"/>
      <c r="O232" s="75"/>
    </row>
    <row r="233" spans="1:15" ht="13.5" customHeight="1">
      <c r="A233" s="3"/>
      <c r="B233" s="3"/>
      <c r="C233" s="75"/>
      <c r="D233" s="207"/>
      <c r="E233" s="207"/>
      <c r="F233" s="207"/>
      <c r="G233" s="207"/>
      <c r="H233" s="207"/>
      <c r="I233" s="75"/>
      <c r="J233" s="75"/>
      <c r="K233" s="75"/>
      <c r="L233" s="75"/>
      <c r="M233" s="75"/>
      <c r="N233" s="75"/>
      <c r="O233" s="75"/>
    </row>
    <row r="234" spans="1:15" ht="13.5" customHeight="1">
      <c r="A234" s="3"/>
      <c r="B234" s="3"/>
      <c r="C234" s="75"/>
      <c r="D234" s="207"/>
      <c r="E234" s="207"/>
      <c r="F234" s="207"/>
      <c r="G234" s="207"/>
      <c r="H234" s="207"/>
      <c r="I234" s="75"/>
      <c r="J234" s="75"/>
      <c r="K234" s="75"/>
      <c r="L234" s="75"/>
      <c r="M234" s="75"/>
      <c r="N234" s="75"/>
      <c r="O234" s="75"/>
    </row>
    <row r="235" spans="1:15" ht="13.5" customHeight="1">
      <c r="A235" s="3"/>
      <c r="B235" s="3"/>
      <c r="C235" s="75"/>
      <c r="D235" s="207"/>
      <c r="E235" s="207"/>
      <c r="F235" s="207"/>
      <c r="G235" s="207"/>
      <c r="H235" s="207"/>
      <c r="I235" s="75"/>
      <c r="J235" s="75"/>
      <c r="K235" s="75"/>
      <c r="L235" s="75"/>
      <c r="M235" s="75"/>
      <c r="N235" s="75"/>
      <c r="O235" s="75"/>
    </row>
    <row r="236" spans="1:15" ht="13.5" customHeight="1">
      <c r="A236" s="3"/>
      <c r="B236" s="3"/>
      <c r="C236" s="75"/>
      <c r="D236" s="207"/>
      <c r="E236" s="207"/>
      <c r="F236" s="207"/>
      <c r="G236" s="207"/>
      <c r="H236" s="207"/>
      <c r="I236" s="75"/>
      <c r="J236" s="75"/>
      <c r="K236" s="75"/>
      <c r="L236" s="75"/>
      <c r="M236" s="75"/>
      <c r="N236" s="75"/>
      <c r="O236" s="75"/>
    </row>
    <row r="237" spans="1:15" ht="13.5" customHeight="1">
      <c r="A237" s="3"/>
      <c r="B237" s="3"/>
      <c r="C237" s="75"/>
      <c r="D237" s="207"/>
      <c r="E237" s="207"/>
      <c r="F237" s="207"/>
      <c r="G237" s="207"/>
      <c r="H237" s="207"/>
      <c r="I237" s="75"/>
      <c r="J237" s="75"/>
      <c r="K237" s="75"/>
      <c r="L237" s="75"/>
      <c r="M237" s="75"/>
      <c r="N237" s="75"/>
      <c r="O237" s="75"/>
    </row>
    <row r="238" spans="1:15" ht="13.5" customHeight="1">
      <c r="A238" s="3"/>
      <c r="B238" s="3"/>
      <c r="C238" s="75"/>
      <c r="D238" s="207"/>
      <c r="E238" s="207"/>
      <c r="F238" s="207"/>
      <c r="G238" s="207"/>
      <c r="H238" s="207"/>
      <c r="I238" s="75"/>
      <c r="J238" s="75"/>
      <c r="K238" s="75"/>
      <c r="L238" s="75"/>
      <c r="M238" s="75"/>
      <c r="N238" s="75"/>
      <c r="O238" s="75"/>
    </row>
    <row r="239" spans="1:15" ht="13.5" customHeight="1">
      <c r="A239" s="3"/>
      <c r="B239" s="3"/>
      <c r="C239" s="75"/>
      <c r="D239" s="207"/>
      <c r="E239" s="207"/>
      <c r="F239" s="207"/>
      <c r="G239" s="207"/>
      <c r="H239" s="207"/>
      <c r="I239" s="75"/>
      <c r="J239" s="75"/>
      <c r="K239" s="75"/>
      <c r="L239" s="75"/>
      <c r="M239" s="75"/>
      <c r="N239" s="75"/>
      <c r="O239" s="75"/>
    </row>
    <row r="240" spans="1:15" ht="13.5" customHeight="1">
      <c r="A240" s="3"/>
      <c r="B240" s="3"/>
      <c r="C240" s="75"/>
      <c r="D240" s="207"/>
      <c r="E240" s="207"/>
      <c r="F240" s="207"/>
      <c r="G240" s="207"/>
      <c r="H240" s="207"/>
      <c r="I240" s="75"/>
      <c r="J240" s="75"/>
      <c r="K240" s="75"/>
      <c r="L240" s="75"/>
      <c r="M240" s="75"/>
      <c r="N240" s="75"/>
      <c r="O240" s="75"/>
    </row>
    <row r="241" spans="1:15" ht="13.5" customHeight="1">
      <c r="A241" s="3"/>
      <c r="B241" s="3"/>
      <c r="C241" s="75"/>
      <c r="D241" s="207"/>
      <c r="E241" s="207"/>
      <c r="F241" s="207"/>
      <c r="G241" s="207"/>
      <c r="H241" s="207"/>
      <c r="I241" s="75"/>
      <c r="J241" s="75"/>
      <c r="K241" s="75"/>
      <c r="L241" s="75"/>
      <c r="M241" s="75"/>
      <c r="N241" s="75"/>
      <c r="O241" s="75"/>
    </row>
    <row r="242" spans="1:15" ht="13.5" customHeight="1">
      <c r="A242" s="3"/>
      <c r="B242" s="3"/>
      <c r="C242" s="75"/>
      <c r="D242" s="207"/>
      <c r="E242" s="207"/>
      <c r="F242" s="207"/>
      <c r="G242" s="207"/>
      <c r="H242" s="207"/>
      <c r="I242" s="75"/>
      <c r="J242" s="75"/>
      <c r="K242" s="75"/>
      <c r="L242" s="75"/>
      <c r="M242" s="75"/>
      <c r="N242" s="75"/>
      <c r="O242" s="75"/>
    </row>
    <row r="243" spans="1:15" ht="13.5" customHeight="1">
      <c r="A243" s="3"/>
      <c r="B243" s="3"/>
      <c r="C243" s="75"/>
      <c r="D243" s="207"/>
      <c r="E243" s="207"/>
      <c r="F243" s="207"/>
      <c r="G243" s="207"/>
      <c r="H243" s="207"/>
      <c r="I243" s="75"/>
      <c r="J243" s="75"/>
      <c r="K243" s="75"/>
      <c r="L243" s="75"/>
      <c r="M243" s="75"/>
      <c r="N243" s="75"/>
      <c r="O243" s="75"/>
    </row>
    <row r="244" spans="1:15" ht="13.5" customHeight="1">
      <c r="A244" s="3"/>
      <c r="B244" s="3"/>
      <c r="C244" s="75"/>
      <c r="D244" s="207"/>
      <c r="E244" s="207"/>
      <c r="F244" s="207"/>
      <c r="G244" s="207"/>
      <c r="H244" s="207"/>
      <c r="I244" s="75"/>
      <c r="J244" s="75"/>
      <c r="K244" s="75"/>
      <c r="L244" s="75"/>
      <c r="M244" s="75"/>
      <c r="N244" s="75"/>
      <c r="O244" s="75"/>
    </row>
    <row r="245" spans="1:15" ht="13.5" customHeight="1">
      <c r="A245" s="3"/>
      <c r="B245" s="3"/>
      <c r="C245" s="75"/>
      <c r="D245" s="207"/>
      <c r="E245" s="207"/>
      <c r="F245" s="207"/>
      <c r="G245" s="207"/>
      <c r="H245" s="207"/>
      <c r="I245" s="75"/>
      <c r="J245" s="75"/>
      <c r="K245" s="75"/>
      <c r="L245" s="75"/>
      <c r="M245" s="75"/>
      <c r="N245" s="75"/>
      <c r="O245" s="75"/>
    </row>
    <row r="246" spans="1:15" ht="13.5" customHeight="1">
      <c r="A246" s="3"/>
      <c r="B246" s="3"/>
      <c r="C246" s="75"/>
      <c r="D246" s="207"/>
      <c r="E246" s="207"/>
      <c r="F246" s="207"/>
      <c r="G246" s="207"/>
      <c r="H246" s="207"/>
      <c r="I246" s="75"/>
      <c r="J246" s="75"/>
      <c r="K246" s="75"/>
      <c r="L246" s="75"/>
      <c r="M246" s="75"/>
      <c r="N246" s="75"/>
      <c r="O246" s="75"/>
    </row>
    <row r="247" spans="1:15" ht="13.5" customHeight="1">
      <c r="A247" s="3"/>
      <c r="B247" s="3"/>
      <c r="C247" s="75"/>
      <c r="D247" s="207"/>
      <c r="E247" s="207"/>
      <c r="F247" s="207"/>
      <c r="G247" s="207"/>
      <c r="H247" s="207"/>
      <c r="I247" s="75"/>
      <c r="J247" s="75"/>
      <c r="K247" s="75"/>
      <c r="L247" s="75"/>
      <c r="M247" s="75"/>
      <c r="N247" s="75"/>
      <c r="O247" s="75"/>
    </row>
    <row r="248" spans="1:15" ht="13.5" customHeight="1">
      <c r="A248" s="3"/>
      <c r="B248" s="3"/>
      <c r="C248" s="75"/>
      <c r="D248" s="207"/>
      <c r="E248" s="207"/>
      <c r="F248" s="207"/>
      <c r="G248" s="207"/>
      <c r="H248" s="207"/>
      <c r="I248" s="75"/>
      <c r="J248" s="75"/>
      <c r="K248" s="75"/>
      <c r="L248" s="75"/>
      <c r="M248" s="75"/>
      <c r="N248" s="75"/>
      <c r="O248" s="75"/>
    </row>
    <row r="249" spans="1:15" ht="13.5" customHeight="1">
      <c r="A249" s="3"/>
      <c r="B249" s="3"/>
      <c r="C249" s="75"/>
      <c r="D249" s="207"/>
      <c r="E249" s="207"/>
      <c r="F249" s="207"/>
      <c r="G249" s="207"/>
      <c r="H249" s="207"/>
      <c r="I249" s="75"/>
      <c r="J249" s="75"/>
      <c r="K249" s="75"/>
      <c r="L249" s="75"/>
      <c r="M249" s="75"/>
      <c r="N249" s="75"/>
      <c r="O249" s="75"/>
    </row>
    <row r="250" spans="1:15" ht="13.5" customHeight="1">
      <c r="A250" s="3"/>
      <c r="B250" s="3"/>
      <c r="C250" s="75"/>
      <c r="D250" s="207"/>
      <c r="E250" s="207"/>
      <c r="F250" s="207"/>
      <c r="G250" s="207"/>
      <c r="H250" s="207"/>
      <c r="I250" s="75"/>
      <c r="J250" s="75"/>
      <c r="K250" s="75"/>
      <c r="L250" s="75"/>
      <c r="M250" s="75"/>
      <c r="N250" s="75"/>
      <c r="O250" s="75"/>
    </row>
    <row r="251" spans="1:15" ht="13.5" customHeight="1">
      <c r="A251" s="3"/>
      <c r="B251" s="3"/>
      <c r="C251" s="75"/>
      <c r="D251" s="207"/>
      <c r="E251" s="207"/>
      <c r="F251" s="207"/>
      <c r="G251" s="207"/>
      <c r="H251" s="207"/>
      <c r="I251" s="75"/>
      <c r="J251" s="75"/>
      <c r="K251" s="75"/>
      <c r="L251" s="75"/>
      <c r="M251" s="75"/>
      <c r="N251" s="75"/>
      <c r="O251" s="75"/>
    </row>
    <row r="252" spans="1:15" ht="13.5" customHeight="1">
      <c r="A252" s="3"/>
      <c r="B252" s="3"/>
      <c r="C252" s="75"/>
      <c r="D252" s="207"/>
      <c r="E252" s="207"/>
      <c r="F252" s="207"/>
      <c r="G252" s="207"/>
      <c r="H252" s="207"/>
      <c r="I252" s="75"/>
      <c r="J252" s="75"/>
      <c r="K252" s="75"/>
      <c r="L252" s="75"/>
      <c r="M252" s="75"/>
      <c r="N252" s="75"/>
      <c r="O252" s="75"/>
    </row>
    <row r="253" spans="1:15" ht="13.5" customHeight="1">
      <c r="A253" s="3"/>
      <c r="B253" s="3"/>
      <c r="C253" s="75"/>
      <c r="D253" s="207"/>
      <c r="E253" s="207"/>
      <c r="F253" s="207"/>
      <c r="G253" s="207"/>
      <c r="H253" s="207"/>
      <c r="I253" s="75"/>
      <c r="J253" s="75"/>
      <c r="K253" s="75"/>
      <c r="L253" s="75"/>
      <c r="M253" s="75"/>
      <c r="N253" s="75"/>
      <c r="O253" s="75"/>
    </row>
    <row r="254" spans="1:15" ht="13.5" customHeight="1">
      <c r="A254" s="3"/>
      <c r="B254" s="3"/>
      <c r="C254" s="75"/>
      <c r="D254" s="207"/>
      <c r="E254" s="207"/>
      <c r="F254" s="207"/>
      <c r="G254" s="207"/>
      <c r="H254" s="207"/>
      <c r="I254" s="75"/>
      <c r="J254" s="75"/>
      <c r="K254" s="75"/>
      <c r="L254" s="75"/>
      <c r="M254" s="75"/>
      <c r="N254" s="75"/>
      <c r="O254" s="75"/>
    </row>
    <row r="255" spans="1:15" ht="13.5" customHeight="1">
      <c r="A255" s="3"/>
      <c r="B255" s="3"/>
      <c r="C255" s="75"/>
      <c r="D255" s="207"/>
      <c r="E255" s="207"/>
      <c r="F255" s="207"/>
      <c r="G255" s="207"/>
      <c r="H255" s="207"/>
      <c r="I255" s="75"/>
      <c r="J255" s="75"/>
      <c r="K255" s="75"/>
      <c r="L255" s="75"/>
      <c r="M255" s="75"/>
      <c r="N255" s="75"/>
      <c r="O255" s="75"/>
    </row>
    <row r="256" spans="1:15" ht="13.5" customHeight="1">
      <c r="A256" s="3"/>
      <c r="B256" s="3"/>
      <c r="C256" s="75"/>
      <c r="D256" s="207"/>
      <c r="E256" s="207"/>
      <c r="F256" s="207"/>
      <c r="G256" s="207"/>
      <c r="H256" s="207"/>
      <c r="I256" s="75"/>
      <c r="J256" s="75"/>
      <c r="K256" s="75"/>
      <c r="L256" s="75"/>
      <c r="M256" s="75"/>
      <c r="N256" s="75"/>
      <c r="O256" s="75"/>
    </row>
    <row r="257" spans="1:15" ht="13.5" customHeight="1">
      <c r="A257" s="3"/>
      <c r="B257" s="3"/>
      <c r="C257" s="75"/>
      <c r="D257" s="207"/>
      <c r="E257" s="207"/>
      <c r="F257" s="207"/>
      <c r="G257" s="207"/>
      <c r="H257" s="207"/>
      <c r="I257" s="75"/>
      <c r="J257" s="75"/>
      <c r="K257" s="75"/>
      <c r="L257" s="75"/>
      <c r="M257" s="75"/>
      <c r="N257" s="75"/>
      <c r="O257" s="75"/>
    </row>
    <row r="258" spans="1:15" ht="13.5" customHeight="1">
      <c r="A258" s="3"/>
      <c r="B258" s="3"/>
      <c r="C258" s="75"/>
      <c r="D258" s="207"/>
      <c r="E258" s="207"/>
      <c r="F258" s="207"/>
      <c r="G258" s="207"/>
      <c r="H258" s="207"/>
      <c r="I258" s="75"/>
      <c r="J258" s="75"/>
      <c r="K258" s="75"/>
      <c r="L258" s="75"/>
      <c r="M258" s="75"/>
      <c r="N258" s="75"/>
      <c r="O258" s="75"/>
    </row>
    <row r="259" spans="1:15" ht="13.5" customHeight="1">
      <c r="A259" s="3"/>
      <c r="B259" s="3"/>
      <c r="C259" s="75"/>
      <c r="D259" s="207"/>
      <c r="E259" s="207"/>
      <c r="F259" s="207"/>
      <c r="G259" s="207"/>
      <c r="H259" s="207"/>
      <c r="I259" s="75"/>
      <c r="J259" s="75"/>
      <c r="K259" s="75"/>
      <c r="L259" s="75"/>
      <c r="M259" s="75"/>
      <c r="N259" s="75"/>
      <c r="O259" s="75"/>
    </row>
    <row r="260" spans="1:15" ht="13.5" customHeight="1">
      <c r="A260" s="3"/>
      <c r="B260" s="3"/>
      <c r="C260" s="75"/>
      <c r="D260" s="207"/>
      <c r="E260" s="207"/>
      <c r="F260" s="207"/>
      <c r="G260" s="207"/>
      <c r="H260" s="207"/>
      <c r="I260" s="75"/>
      <c r="J260" s="75"/>
      <c r="K260" s="75"/>
      <c r="L260" s="75"/>
      <c r="M260" s="75"/>
      <c r="N260" s="75"/>
      <c r="O260" s="75"/>
    </row>
    <row r="261" spans="1:15" ht="13.5" customHeight="1">
      <c r="A261" s="3"/>
      <c r="B261" s="3"/>
      <c r="C261" s="75"/>
      <c r="D261" s="207"/>
      <c r="E261" s="207"/>
      <c r="F261" s="207"/>
      <c r="G261" s="207"/>
      <c r="H261" s="207"/>
      <c r="I261" s="75"/>
      <c r="J261" s="75"/>
      <c r="K261" s="75"/>
      <c r="L261" s="75"/>
      <c r="M261" s="75"/>
      <c r="N261" s="75"/>
      <c r="O261" s="75"/>
    </row>
    <row r="262" spans="1:15" ht="13.5" customHeight="1">
      <c r="A262" s="3"/>
      <c r="B262" s="3"/>
      <c r="C262" s="75"/>
      <c r="D262" s="207"/>
      <c r="E262" s="207"/>
      <c r="F262" s="207"/>
      <c r="G262" s="207"/>
      <c r="H262" s="207"/>
      <c r="I262" s="75"/>
      <c r="J262" s="75"/>
      <c r="K262" s="75"/>
      <c r="L262" s="75"/>
      <c r="M262" s="75"/>
      <c r="N262" s="75"/>
      <c r="O262" s="75"/>
    </row>
    <row r="263" spans="1:15" ht="13.5" customHeight="1">
      <c r="A263" s="3"/>
      <c r="B263" s="3"/>
      <c r="C263" s="75"/>
      <c r="D263" s="207"/>
      <c r="E263" s="207"/>
      <c r="F263" s="207"/>
      <c r="G263" s="207"/>
      <c r="H263" s="207"/>
      <c r="I263" s="75"/>
      <c r="J263" s="75"/>
      <c r="K263" s="75"/>
      <c r="L263" s="75"/>
      <c r="M263" s="75"/>
      <c r="N263" s="75"/>
      <c r="O263" s="75"/>
    </row>
    <row r="264" spans="1:15" ht="13.5" customHeight="1">
      <c r="A264" s="3"/>
      <c r="B264" s="3"/>
      <c r="C264" s="75"/>
      <c r="D264" s="207"/>
      <c r="E264" s="207"/>
      <c r="F264" s="207"/>
      <c r="G264" s="207"/>
      <c r="H264" s="207"/>
      <c r="I264" s="75"/>
      <c r="J264" s="75"/>
      <c r="K264" s="75"/>
      <c r="L264" s="75"/>
      <c r="M264" s="75"/>
      <c r="N264" s="75"/>
      <c r="O264" s="75"/>
    </row>
    <row r="265" spans="1:15" ht="13.5" customHeight="1">
      <c r="A265" s="3"/>
      <c r="B265" s="3"/>
      <c r="C265" s="75"/>
      <c r="D265" s="207"/>
      <c r="E265" s="207"/>
      <c r="F265" s="207"/>
      <c r="G265" s="207"/>
      <c r="H265" s="207"/>
      <c r="I265" s="75"/>
      <c r="J265" s="75"/>
      <c r="K265" s="75"/>
      <c r="L265" s="75"/>
      <c r="M265" s="75"/>
      <c r="N265" s="75"/>
      <c r="O265" s="75"/>
    </row>
    <row r="266" spans="1:15" ht="13.5" customHeight="1">
      <c r="A266" s="3"/>
      <c r="B266" s="3"/>
      <c r="C266" s="75"/>
      <c r="D266" s="207"/>
      <c r="E266" s="207"/>
      <c r="F266" s="207"/>
      <c r="G266" s="207"/>
      <c r="H266" s="207"/>
      <c r="I266" s="75"/>
      <c r="J266" s="75"/>
      <c r="K266" s="75"/>
      <c r="L266" s="75"/>
      <c r="M266" s="75"/>
      <c r="N266" s="75"/>
      <c r="O266" s="75"/>
    </row>
    <row r="267" spans="1:15" ht="13.5" customHeight="1">
      <c r="A267" s="3"/>
      <c r="B267" s="3"/>
      <c r="C267" s="75"/>
      <c r="D267" s="207"/>
      <c r="E267" s="207"/>
      <c r="F267" s="207"/>
      <c r="G267" s="207"/>
      <c r="H267" s="207"/>
      <c r="I267" s="75"/>
      <c r="J267" s="75"/>
      <c r="K267" s="75"/>
      <c r="L267" s="75"/>
      <c r="M267" s="75"/>
      <c r="N267" s="75"/>
      <c r="O267" s="75"/>
    </row>
    <row r="268" spans="1:15" ht="13.5" customHeight="1">
      <c r="A268" s="3"/>
      <c r="B268" s="3"/>
      <c r="C268" s="75"/>
      <c r="D268" s="207"/>
      <c r="E268" s="207"/>
      <c r="F268" s="207"/>
      <c r="G268" s="207"/>
      <c r="H268" s="207"/>
      <c r="I268" s="75"/>
      <c r="J268" s="75"/>
      <c r="K268" s="75"/>
      <c r="L268" s="75"/>
      <c r="M268" s="75"/>
      <c r="N268" s="75"/>
      <c r="O268" s="75"/>
    </row>
    <row r="269" spans="1:15" ht="13.5" customHeight="1">
      <c r="A269" s="3"/>
      <c r="B269" s="3"/>
      <c r="C269" s="75"/>
      <c r="D269" s="207"/>
      <c r="E269" s="207"/>
      <c r="F269" s="207"/>
      <c r="G269" s="207"/>
      <c r="H269" s="207"/>
      <c r="I269" s="75"/>
      <c r="J269" s="75"/>
      <c r="K269" s="75"/>
      <c r="L269" s="75"/>
      <c r="M269" s="75"/>
      <c r="N269" s="75"/>
      <c r="O269" s="75"/>
    </row>
    <row r="270" spans="1:15" ht="13.5" customHeight="1">
      <c r="A270" s="3"/>
      <c r="B270" s="3"/>
      <c r="C270" s="75"/>
      <c r="D270" s="207"/>
      <c r="E270" s="207"/>
      <c r="F270" s="207"/>
      <c r="G270" s="207"/>
      <c r="H270" s="207"/>
      <c r="I270" s="75"/>
      <c r="J270" s="75"/>
      <c r="K270" s="75"/>
      <c r="L270" s="75"/>
      <c r="M270" s="75"/>
      <c r="N270" s="75"/>
      <c r="O270" s="75"/>
    </row>
    <row r="271" spans="1:15" ht="13.5" customHeight="1">
      <c r="A271" s="3"/>
      <c r="B271" s="3"/>
      <c r="C271" s="75"/>
      <c r="D271" s="207"/>
      <c r="E271" s="207"/>
      <c r="F271" s="207"/>
      <c r="G271" s="207"/>
      <c r="H271" s="207"/>
      <c r="I271" s="75"/>
      <c r="J271" s="75"/>
      <c r="K271" s="75"/>
      <c r="L271" s="75"/>
      <c r="M271" s="75"/>
      <c r="N271" s="75"/>
      <c r="O271" s="75"/>
    </row>
    <row r="272" spans="1:15" ht="13.5" customHeight="1">
      <c r="A272" s="3"/>
      <c r="B272" s="3"/>
      <c r="C272" s="75"/>
      <c r="D272" s="207"/>
      <c r="E272" s="207"/>
      <c r="F272" s="207"/>
      <c r="G272" s="207"/>
      <c r="H272" s="207"/>
      <c r="I272" s="75"/>
      <c r="J272" s="75"/>
      <c r="K272" s="75"/>
      <c r="L272" s="75"/>
      <c r="M272" s="75"/>
      <c r="N272" s="75"/>
      <c r="O272" s="75"/>
    </row>
    <row r="273" spans="1:15" ht="13.5" customHeight="1">
      <c r="A273" s="3"/>
      <c r="B273" s="3"/>
      <c r="C273" s="75"/>
      <c r="D273" s="207"/>
      <c r="E273" s="207"/>
      <c r="F273" s="207"/>
      <c r="G273" s="207"/>
      <c r="H273" s="207"/>
      <c r="I273" s="75"/>
      <c r="J273" s="75"/>
      <c r="K273" s="75"/>
      <c r="L273" s="75"/>
      <c r="M273" s="75"/>
      <c r="N273" s="75"/>
      <c r="O273" s="75"/>
    </row>
    <row r="274" spans="1:15" ht="13.5" customHeight="1">
      <c r="A274" s="3"/>
      <c r="B274" s="3"/>
      <c r="C274" s="75"/>
      <c r="D274" s="207"/>
      <c r="E274" s="207"/>
      <c r="F274" s="207"/>
      <c r="G274" s="207"/>
      <c r="H274" s="207"/>
      <c r="I274" s="75"/>
      <c r="J274" s="75"/>
      <c r="K274" s="75"/>
      <c r="L274" s="75"/>
      <c r="M274" s="75"/>
      <c r="N274" s="75"/>
      <c r="O274" s="75"/>
    </row>
    <row r="275" spans="1:15" ht="13.5" customHeight="1">
      <c r="A275" s="3"/>
      <c r="B275" s="3"/>
      <c r="C275" s="75"/>
      <c r="D275" s="207"/>
      <c r="E275" s="207"/>
      <c r="F275" s="207"/>
      <c r="G275" s="207"/>
      <c r="H275" s="207"/>
      <c r="I275" s="75"/>
      <c r="J275" s="75"/>
      <c r="K275" s="75"/>
      <c r="L275" s="75"/>
      <c r="M275" s="75"/>
      <c r="N275" s="75"/>
      <c r="O275" s="75"/>
    </row>
    <row r="276" spans="1:15" ht="13.5" customHeight="1">
      <c r="A276" s="3"/>
      <c r="B276" s="3"/>
      <c r="C276" s="75"/>
      <c r="D276" s="207"/>
      <c r="E276" s="207"/>
      <c r="F276" s="207"/>
      <c r="G276" s="207"/>
      <c r="H276" s="207"/>
      <c r="I276" s="75"/>
      <c r="J276" s="75"/>
      <c r="K276" s="75"/>
      <c r="L276" s="75"/>
      <c r="M276" s="75"/>
      <c r="N276" s="75"/>
      <c r="O276" s="75"/>
    </row>
    <row r="277" spans="1:15" ht="13.5" customHeight="1">
      <c r="A277" s="3"/>
      <c r="B277" s="3"/>
      <c r="C277" s="75"/>
      <c r="D277" s="207"/>
      <c r="E277" s="207"/>
      <c r="F277" s="207"/>
      <c r="G277" s="207"/>
      <c r="H277" s="207"/>
      <c r="I277" s="75"/>
      <c r="J277" s="75"/>
      <c r="K277" s="75"/>
      <c r="L277" s="75"/>
      <c r="M277" s="75"/>
      <c r="N277" s="75"/>
      <c r="O277" s="75"/>
    </row>
    <row r="278" spans="1:15" ht="13.5" customHeight="1">
      <c r="A278" s="3"/>
      <c r="B278" s="3"/>
      <c r="C278" s="75"/>
      <c r="D278" s="207"/>
      <c r="E278" s="207"/>
      <c r="F278" s="207"/>
      <c r="G278" s="207"/>
      <c r="H278" s="207"/>
      <c r="I278" s="75"/>
      <c r="J278" s="75"/>
      <c r="K278" s="75"/>
      <c r="L278" s="75"/>
      <c r="M278" s="75"/>
      <c r="N278" s="75"/>
      <c r="O278" s="75"/>
    </row>
    <row r="279" spans="1:15" ht="13.5" customHeight="1">
      <c r="A279" s="3"/>
      <c r="B279" s="3"/>
      <c r="C279" s="75"/>
      <c r="D279" s="207"/>
      <c r="E279" s="207"/>
      <c r="F279" s="207"/>
      <c r="G279" s="207"/>
      <c r="H279" s="207"/>
      <c r="I279" s="75"/>
      <c r="J279" s="75"/>
      <c r="K279" s="75"/>
      <c r="L279" s="75"/>
      <c r="M279" s="75"/>
      <c r="N279" s="75"/>
      <c r="O279" s="75"/>
    </row>
    <row r="280" spans="1:15" ht="13.5" customHeight="1">
      <c r="A280" s="3"/>
      <c r="B280" s="3"/>
      <c r="C280" s="75"/>
      <c r="D280" s="207"/>
      <c r="E280" s="207"/>
      <c r="F280" s="207"/>
      <c r="G280" s="207"/>
      <c r="H280" s="207"/>
      <c r="I280" s="75"/>
      <c r="J280" s="75"/>
      <c r="K280" s="75"/>
      <c r="L280" s="75"/>
      <c r="M280" s="75"/>
      <c r="N280" s="75"/>
      <c r="O280" s="75"/>
    </row>
    <row r="281" spans="1:15" ht="13.5" customHeight="1">
      <c r="A281" s="3"/>
      <c r="B281" s="3"/>
      <c r="C281" s="75"/>
      <c r="D281" s="207"/>
      <c r="E281" s="207"/>
      <c r="F281" s="207"/>
      <c r="G281" s="207"/>
      <c r="H281" s="207"/>
      <c r="I281" s="75"/>
      <c r="J281" s="75"/>
      <c r="K281" s="75"/>
      <c r="L281" s="75"/>
      <c r="M281" s="75"/>
      <c r="N281" s="75"/>
      <c r="O281" s="75"/>
    </row>
    <row r="282" spans="1:15" ht="13.5" customHeight="1">
      <c r="A282" s="3"/>
      <c r="B282" s="3"/>
      <c r="C282" s="75"/>
      <c r="D282" s="207"/>
      <c r="E282" s="207"/>
      <c r="F282" s="207"/>
      <c r="G282" s="207"/>
      <c r="H282" s="207"/>
      <c r="I282" s="75"/>
      <c r="J282" s="75"/>
      <c r="K282" s="75"/>
      <c r="L282" s="75"/>
      <c r="M282" s="75"/>
      <c r="N282" s="75"/>
      <c r="O282" s="75"/>
    </row>
    <row r="283" spans="1:15" ht="13.5" customHeight="1">
      <c r="A283" s="3"/>
      <c r="B283" s="3"/>
      <c r="C283" s="75"/>
      <c r="D283" s="207"/>
      <c r="E283" s="207"/>
      <c r="F283" s="207"/>
      <c r="G283" s="207"/>
      <c r="H283" s="207"/>
      <c r="I283" s="75"/>
      <c r="J283" s="75"/>
      <c r="K283" s="75"/>
      <c r="L283" s="75"/>
      <c r="M283" s="75"/>
      <c r="N283" s="75"/>
      <c r="O283" s="75"/>
    </row>
    <row r="284" spans="1:15" ht="13.5" customHeight="1">
      <c r="A284" s="3"/>
      <c r="B284" s="3"/>
      <c r="C284" s="75"/>
      <c r="D284" s="207"/>
      <c r="E284" s="207"/>
      <c r="F284" s="207"/>
      <c r="G284" s="207"/>
      <c r="H284" s="207"/>
      <c r="I284" s="75"/>
      <c r="J284" s="75"/>
      <c r="K284" s="75"/>
      <c r="L284" s="75"/>
      <c r="M284" s="75"/>
      <c r="N284" s="75"/>
      <c r="O284" s="75"/>
    </row>
    <row r="285" spans="1:15" ht="13.5" customHeight="1">
      <c r="A285" s="3"/>
      <c r="B285" s="3"/>
      <c r="C285" s="75"/>
      <c r="D285" s="207"/>
      <c r="E285" s="207"/>
      <c r="F285" s="207"/>
      <c r="G285" s="207"/>
      <c r="H285" s="207"/>
      <c r="I285" s="75"/>
      <c r="J285" s="75"/>
      <c r="K285" s="75"/>
      <c r="L285" s="75"/>
      <c r="M285" s="75"/>
      <c r="N285" s="75"/>
      <c r="O285" s="75"/>
    </row>
    <row r="286" spans="1:15" ht="13.5" customHeight="1">
      <c r="A286" s="3"/>
      <c r="B286" s="3"/>
      <c r="C286" s="75"/>
      <c r="D286" s="207"/>
      <c r="E286" s="207"/>
      <c r="F286" s="207"/>
      <c r="G286" s="207"/>
      <c r="H286" s="207"/>
      <c r="I286" s="75"/>
      <c r="J286" s="75"/>
      <c r="K286" s="75"/>
      <c r="L286" s="75"/>
      <c r="M286" s="75"/>
      <c r="N286" s="75"/>
      <c r="O286" s="75"/>
    </row>
    <row r="287" spans="1:15" ht="13.5" customHeight="1">
      <c r="A287" s="3"/>
      <c r="B287" s="3"/>
      <c r="C287" s="75"/>
      <c r="D287" s="207"/>
      <c r="E287" s="207"/>
      <c r="F287" s="207"/>
      <c r="G287" s="207"/>
      <c r="H287" s="207"/>
      <c r="I287" s="75"/>
      <c r="J287" s="75"/>
      <c r="K287" s="75"/>
      <c r="L287" s="75"/>
      <c r="M287" s="75"/>
      <c r="N287" s="75"/>
      <c r="O287" s="75"/>
    </row>
    <row r="288" spans="1:15" ht="13.5" customHeight="1">
      <c r="A288" s="3"/>
      <c r="B288" s="3"/>
      <c r="C288" s="75"/>
      <c r="D288" s="207"/>
      <c r="E288" s="207"/>
      <c r="F288" s="207"/>
      <c r="G288" s="207"/>
      <c r="H288" s="207"/>
      <c r="I288" s="75"/>
      <c r="J288" s="75"/>
      <c r="K288" s="75"/>
      <c r="L288" s="75"/>
      <c r="M288" s="75"/>
      <c r="N288" s="75"/>
      <c r="O288" s="75"/>
    </row>
    <row r="289" spans="1:15" ht="13.5" customHeight="1">
      <c r="A289" s="3"/>
      <c r="B289" s="3"/>
      <c r="C289" s="75"/>
      <c r="D289" s="207"/>
      <c r="E289" s="207"/>
      <c r="F289" s="207"/>
      <c r="G289" s="207"/>
      <c r="H289" s="207"/>
      <c r="I289" s="75"/>
      <c r="J289" s="75"/>
      <c r="K289" s="75"/>
      <c r="L289" s="75"/>
      <c r="M289" s="75"/>
      <c r="N289" s="75"/>
      <c r="O289" s="75"/>
    </row>
    <row r="290" spans="1:15" ht="13.5" customHeight="1">
      <c r="A290" s="3"/>
      <c r="B290" s="3"/>
      <c r="C290" s="75"/>
      <c r="D290" s="207"/>
      <c r="E290" s="207"/>
      <c r="F290" s="207"/>
      <c r="G290" s="207"/>
      <c r="H290" s="207"/>
      <c r="I290" s="75"/>
      <c r="J290" s="75"/>
      <c r="K290" s="75"/>
      <c r="L290" s="75"/>
      <c r="M290" s="75"/>
      <c r="N290" s="75"/>
      <c r="O290" s="75"/>
    </row>
    <row r="291" spans="1:15" ht="13.5" customHeight="1">
      <c r="A291" s="3"/>
      <c r="B291" s="3"/>
      <c r="C291" s="75"/>
      <c r="D291" s="207"/>
      <c r="E291" s="207"/>
      <c r="F291" s="207"/>
      <c r="G291" s="207"/>
      <c r="H291" s="207"/>
      <c r="I291" s="75"/>
      <c r="J291" s="75"/>
      <c r="K291" s="75"/>
      <c r="L291" s="75"/>
      <c r="M291" s="75"/>
      <c r="N291" s="75"/>
      <c r="O291" s="75"/>
    </row>
    <row r="292" spans="1:15" ht="13.5" customHeight="1">
      <c r="A292" s="3"/>
      <c r="B292" s="3"/>
      <c r="C292" s="75"/>
      <c r="D292" s="207"/>
      <c r="E292" s="207"/>
      <c r="F292" s="207"/>
      <c r="G292" s="207"/>
      <c r="H292" s="207"/>
      <c r="I292" s="75"/>
      <c r="J292" s="75"/>
      <c r="K292" s="75"/>
      <c r="L292" s="75"/>
      <c r="M292" s="75"/>
      <c r="N292" s="75"/>
      <c r="O292" s="75"/>
    </row>
    <row r="293" spans="1:15" ht="13.5" customHeight="1">
      <c r="A293" s="3"/>
      <c r="B293" s="3"/>
      <c r="C293" s="75"/>
      <c r="D293" s="207"/>
      <c r="E293" s="207"/>
      <c r="F293" s="207"/>
      <c r="G293" s="207"/>
      <c r="H293" s="207"/>
      <c r="I293" s="75"/>
      <c r="J293" s="75"/>
      <c r="K293" s="75"/>
      <c r="L293" s="75"/>
      <c r="M293" s="75"/>
      <c r="N293" s="75"/>
      <c r="O293" s="75"/>
    </row>
    <row r="294" spans="1:15" ht="13.5" customHeight="1">
      <c r="A294" s="3"/>
      <c r="B294" s="3"/>
      <c r="C294" s="75"/>
      <c r="D294" s="207"/>
      <c r="E294" s="207"/>
      <c r="F294" s="207"/>
      <c r="G294" s="207"/>
      <c r="H294" s="207"/>
      <c r="I294" s="75"/>
      <c r="J294" s="75"/>
      <c r="K294" s="75"/>
      <c r="L294" s="75"/>
      <c r="M294" s="75"/>
      <c r="N294" s="75"/>
      <c r="O294" s="75"/>
    </row>
    <row r="295" spans="1:15" ht="13.5" customHeight="1">
      <c r="A295" s="3"/>
      <c r="B295" s="3"/>
      <c r="C295" s="75"/>
      <c r="D295" s="207"/>
      <c r="E295" s="207"/>
      <c r="F295" s="207"/>
      <c r="G295" s="207"/>
      <c r="H295" s="207"/>
      <c r="I295" s="75"/>
      <c r="J295" s="75"/>
      <c r="K295" s="75"/>
      <c r="L295" s="75"/>
      <c r="M295" s="75"/>
      <c r="N295" s="75"/>
      <c r="O295" s="75"/>
    </row>
    <row r="296" spans="1:15" ht="13.5" customHeight="1">
      <c r="A296" s="3"/>
      <c r="B296" s="3"/>
      <c r="C296" s="75"/>
      <c r="D296" s="207"/>
      <c r="E296" s="207"/>
      <c r="F296" s="207"/>
      <c r="G296" s="207"/>
      <c r="H296" s="207"/>
      <c r="I296" s="75"/>
      <c r="J296" s="75"/>
      <c r="K296" s="75"/>
      <c r="L296" s="75"/>
      <c r="M296" s="75"/>
      <c r="N296" s="75"/>
      <c r="O296" s="75"/>
    </row>
    <row r="297" spans="1:15" ht="13.5" customHeight="1">
      <c r="A297" s="3"/>
      <c r="B297" s="3"/>
      <c r="C297" s="75"/>
      <c r="D297" s="207"/>
      <c r="E297" s="207"/>
      <c r="F297" s="207"/>
      <c r="G297" s="207"/>
      <c r="H297" s="207"/>
      <c r="I297" s="75"/>
      <c r="J297" s="75"/>
      <c r="K297" s="75"/>
      <c r="L297" s="75"/>
      <c r="M297" s="75"/>
      <c r="N297" s="75"/>
      <c r="O297" s="75"/>
    </row>
    <row r="298" spans="1:15" ht="13.5" customHeight="1">
      <c r="A298" s="3"/>
      <c r="B298" s="3"/>
      <c r="C298" s="75"/>
      <c r="D298" s="207"/>
      <c r="E298" s="207"/>
      <c r="F298" s="207"/>
      <c r="G298" s="207"/>
      <c r="H298" s="207"/>
      <c r="I298" s="75"/>
      <c r="J298" s="75"/>
      <c r="K298" s="75"/>
      <c r="L298" s="75"/>
      <c r="M298" s="75"/>
      <c r="N298" s="75"/>
      <c r="O298" s="75"/>
    </row>
    <row r="299" spans="1:15" ht="13.5" customHeight="1">
      <c r="A299" s="3"/>
      <c r="B299" s="3"/>
      <c r="C299" s="75"/>
      <c r="D299" s="207"/>
      <c r="E299" s="207"/>
      <c r="F299" s="207"/>
      <c r="G299" s="207"/>
      <c r="H299" s="207"/>
      <c r="I299" s="75"/>
      <c r="J299" s="75"/>
      <c r="K299" s="75"/>
      <c r="L299" s="75"/>
      <c r="M299" s="75"/>
      <c r="N299" s="75"/>
      <c r="O299" s="75"/>
    </row>
    <row r="300" spans="1:15" ht="13.5" customHeight="1">
      <c r="A300" s="3"/>
      <c r="B300" s="3"/>
      <c r="C300" s="75"/>
      <c r="D300" s="207"/>
      <c r="E300" s="207"/>
      <c r="F300" s="207"/>
      <c r="G300" s="207"/>
      <c r="H300" s="207"/>
      <c r="I300" s="75"/>
      <c r="J300" s="75"/>
      <c r="K300" s="75"/>
      <c r="L300" s="75"/>
      <c r="M300" s="75"/>
      <c r="N300" s="75"/>
      <c r="O300" s="75"/>
    </row>
    <row r="301" spans="1:15" ht="13.5" customHeight="1">
      <c r="A301" s="3"/>
      <c r="B301" s="3"/>
      <c r="C301" s="75"/>
      <c r="D301" s="207"/>
      <c r="E301" s="207"/>
      <c r="F301" s="207"/>
      <c r="G301" s="207"/>
      <c r="H301" s="207"/>
      <c r="I301" s="75"/>
      <c r="J301" s="75"/>
      <c r="K301" s="75"/>
      <c r="L301" s="75"/>
      <c r="M301" s="75"/>
      <c r="N301" s="75"/>
      <c r="O301" s="75"/>
    </row>
    <row r="302" spans="1:15" ht="13.5" customHeight="1">
      <c r="A302" s="3"/>
      <c r="B302" s="3"/>
      <c r="C302" s="75"/>
      <c r="D302" s="207"/>
      <c r="E302" s="207"/>
      <c r="F302" s="207"/>
      <c r="G302" s="207"/>
      <c r="H302" s="207"/>
      <c r="I302" s="75"/>
      <c r="J302" s="75"/>
      <c r="K302" s="75"/>
      <c r="L302" s="75"/>
      <c r="M302" s="75"/>
      <c r="N302" s="75"/>
      <c r="O302" s="75"/>
    </row>
    <row r="303" spans="1:15" ht="13.5" customHeight="1">
      <c r="A303" s="3"/>
      <c r="B303" s="3"/>
      <c r="C303" s="75"/>
      <c r="D303" s="207"/>
      <c r="E303" s="207"/>
      <c r="F303" s="207"/>
      <c r="G303" s="207"/>
      <c r="H303" s="207"/>
      <c r="I303" s="75"/>
      <c r="J303" s="75"/>
      <c r="K303" s="75"/>
      <c r="L303" s="75"/>
      <c r="M303" s="75"/>
      <c r="N303" s="75"/>
      <c r="O303" s="75"/>
    </row>
    <row r="304" spans="1:15" ht="13.5" customHeight="1">
      <c r="A304" s="3"/>
      <c r="B304" s="3"/>
      <c r="C304" s="75"/>
      <c r="D304" s="207"/>
      <c r="E304" s="207"/>
      <c r="F304" s="207"/>
      <c r="G304" s="207"/>
      <c r="H304" s="207"/>
      <c r="I304" s="75"/>
      <c r="J304" s="75"/>
      <c r="K304" s="75"/>
      <c r="L304" s="75"/>
      <c r="M304" s="75"/>
      <c r="N304" s="75"/>
      <c r="O304" s="75"/>
    </row>
    <row r="305" spans="1:15" ht="13.5" customHeight="1">
      <c r="A305" s="3"/>
      <c r="B305" s="3"/>
      <c r="C305" s="75"/>
      <c r="D305" s="207"/>
      <c r="E305" s="207"/>
      <c r="F305" s="207"/>
      <c r="G305" s="207"/>
      <c r="H305" s="207"/>
      <c r="I305" s="75"/>
      <c r="J305" s="75"/>
      <c r="K305" s="75"/>
      <c r="L305" s="75"/>
      <c r="M305" s="75"/>
      <c r="N305" s="75"/>
      <c r="O305" s="75"/>
    </row>
    <row r="306" spans="1:15" ht="13.5" customHeight="1">
      <c r="A306" s="3"/>
      <c r="B306" s="3"/>
      <c r="C306" s="75"/>
      <c r="D306" s="207"/>
      <c r="E306" s="207"/>
      <c r="F306" s="207"/>
      <c r="G306" s="207"/>
      <c r="H306" s="207"/>
      <c r="I306" s="75"/>
      <c r="J306" s="75"/>
      <c r="K306" s="75"/>
      <c r="L306" s="75"/>
      <c r="M306" s="75"/>
      <c r="N306" s="75"/>
      <c r="O306" s="75"/>
    </row>
    <row r="307" spans="1:15" ht="13.5" customHeight="1">
      <c r="A307" s="3"/>
      <c r="B307" s="3"/>
      <c r="C307" s="75"/>
      <c r="D307" s="207"/>
      <c r="E307" s="207"/>
      <c r="F307" s="207"/>
      <c r="G307" s="207"/>
      <c r="H307" s="207"/>
      <c r="I307" s="75"/>
      <c r="J307" s="75"/>
      <c r="K307" s="75"/>
      <c r="L307" s="75"/>
      <c r="M307" s="75"/>
      <c r="N307" s="75"/>
      <c r="O307" s="75"/>
    </row>
    <row r="308" spans="1:15" ht="13.5" customHeight="1">
      <c r="A308" s="3"/>
      <c r="B308" s="3"/>
      <c r="C308" s="75"/>
      <c r="D308" s="207"/>
      <c r="E308" s="207"/>
      <c r="F308" s="207"/>
      <c r="G308" s="207"/>
      <c r="H308" s="207"/>
      <c r="I308" s="75"/>
      <c r="J308" s="75"/>
      <c r="K308" s="75"/>
      <c r="L308" s="75"/>
      <c r="M308" s="75"/>
      <c r="N308" s="75"/>
      <c r="O308" s="75"/>
    </row>
    <row r="309" spans="1:15" ht="13.5" customHeight="1">
      <c r="A309" s="3"/>
      <c r="B309" s="3"/>
      <c r="C309" s="75"/>
      <c r="D309" s="207"/>
      <c r="E309" s="207"/>
      <c r="F309" s="207"/>
      <c r="G309" s="207"/>
      <c r="H309" s="207"/>
      <c r="I309" s="75"/>
      <c r="J309" s="75"/>
      <c r="K309" s="75"/>
      <c r="L309" s="75"/>
      <c r="M309" s="75"/>
      <c r="N309" s="75"/>
      <c r="O309" s="75"/>
    </row>
    <row r="310" spans="1:15" ht="13.5" customHeight="1">
      <c r="A310" s="3"/>
      <c r="B310" s="3"/>
      <c r="C310" s="75"/>
      <c r="D310" s="207"/>
      <c r="E310" s="207"/>
      <c r="F310" s="207"/>
      <c r="G310" s="207"/>
      <c r="H310" s="207"/>
      <c r="I310" s="75"/>
      <c r="J310" s="75"/>
      <c r="K310" s="75"/>
      <c r="L310" s="75"/>
      <c r="M310" s="75"/>
      <c r="N310" s="75"/>
      <c r="O310" s="75"/>
    </row>
    <row r="311" spans="1:15" ht="13.5" customHeight="1">
      <c r="A311" s="3"/>
      <c r="B311" s="3"/>
      <c r="C311" s="75"/>
      <c r="D311" s="207"/>
      <c r="E311" s="207"/>
      <c r="F311" s="207"/>
      <c r="G311" s="207"/>
      <c r="H311" s="207"/>
      <c r="I311" s="75"/>
      <c r="J311" s="75"/>
      <c r="K311" s="75"/>
      <c r="L311" s="75"/>
      <c r="M311" s="75"/>
      <c r="N311" s="75"/>
      <c r="O311" s="75"/>
    </row>
    <row r="312" spans="1:15" ht="13.5" customHeight="1">
      <c r="A312" s="3"/>
      <c r="B312" s="3"/>
      <c r="C312" s="75"/>
      <c r="D312" s="207"/>
      <c r="E312" s="207"/>
      <c r="F312" s="207"/>
      <c r="G312" s="207"/>
      <c r="H312" s="207"/>
      <c r="I312" s="75"/>
      <c r="J312" s="75"/>
      <c r="K312" s="75"/>
      <c r="L312" s="75"/>
      <c r="M312" s="75"/>
      <c r="N312" s="75"/>
      <c r="O312" s="75"/>
    </row>
    <row r="313" spans="1:15" ht="13.5" customHeight="1">
      <c r="A313" s="3"/>
      <c r="B313" s="3"/>
      <c r="C313" s="75"/>
      <c r="D313" s="207"/>
      <c r="E313" s="207"/>
      <c r="F313" s="207"/>
      <c r="G313" s="207"/>
      <c r="H313" s="207"/>
      <c r="I313" s="75"/>
      <c r="J313" s="75"/>
      <c r="K313" s="75"/>
      <c r="L313" s="75"/>
      <c r="M313" s="75"/>
      <c r="N313" s="75"/>
      <c r="O313" s="75"/>
    </row>
    <row r="314" spans="1:15" ht="13.5" customHeight="1">
      <c r="A314" s="3"/>
      <c r="B314" s="3"/>
      <c r="C314" s="75"/>
      <c r="D314" s="207"/>
      <c r="E314" s="207"/>
      <c r="F314" s="207"/>
      <c r="G314" s="207"/>
      <c r="H314" s="207"/>
      <c r="I314" s="75"/>
      <c r="J314" s="75"/>
      <c r="K314" s="75"/>
      <c r="L314" s="75"/>
      <c r="M314" s="75"/>
      <c r="N314" s="75"/>
      <c r="O314" s="75"/>
    </row>
    <row r="315" spans="1:15" ht="13.5" customHeight="1">
      <c r="A315" s="3"/>
      <c r="B315" s="3"/>
      <c r="C315" s="75"/>
      <c r="D315" s="207"/>
      <c r="E315" s="207"/>
      <c r="F315" s="207"/>
      <c r="G315" s="207"/>
      <c r="H315" s="207"/>
      <c r="I315" s="75"/>
      <c r="J315" s="75"/>
      <c r="K315" s="75"/>
      <c r="L315" s="75"/>
      <c r="M315" s="75"/>
      <c r="N315" s="75"/>
      <c r="O315" s="75"/>
    </row>
    <row r="316" spans="1:15" ht="13.5" customHeight="1">
      <c r="A316" s="3"/>
      <c r="B316" s="3"/>
      <c r="C316" s="75"/>
      <c r="D316" s="207"/>
      <c r="E316" s="207"/>
      <c r="F316" s="207"/>
      <c r="G316" s="207"/>
      <c r="H316" s="207"/>
      <c r="I316" s="75"/>
      <c r="J316" s="75"/>
      <c r="K316" s="75"/>
      <c r="L316" s="75"/>
      <c r="M316" s="75"/>
      <c r="N316" s="75"/>
      <c r="O316" s="75"/>
    </row>
    <row r="317" spans="1:15" ht="13.5" customHeight="1">
      <c r="A317" s="3"/>
      <c r="B317" s="3"/>
      <c r="C317" s="75"/>
      <c r="D317" s="207"/>
      <c r="E317" s="207"/>
      <c r="F317" s="207"/>
      <c r="G317" s="207"/>
      <c r="H317" s="207"/>
      <c r="I317" s="75"/>
      <c r="J317" s="75"/>
      <c r="K317" s="75"/>
      <c r="L317" s="75"/>
      <c r="M317" s="75"/>
      <c r="N317" s="75"/>
      <c r="O317" s="75"/>
    </row>
    <row r="318" spans="1:15" ht="13.5" customHeight="1">
      <c r="A318" s="3"/>
      <c r="B318" s="3"/>
      <c r="C318" s="75"/>
      <c r="D318" s="207"/>
      <c r="E318" s="207"/>
      <c r="F318" s="207"/>
      <c r="G318" s="207"/>
      <c r="H318" s="207"/>
      <c r="I318" s="75"/>
      <c r="J318" s="75"/>
      <c r="K318" s="75"/>
      <c r="L318" s="75"/>
      <c r="M318" s="75"/>
      <c r="N318" s="75"/>
      <c r="O318" s="75"/>
    </row>
    <row r="319" spans="1:15" ht="13.5" customHeight="1">
      <c r="A319" s="3"/>
      <c r="B319" s="3"/>
      <c r="C319" s="75"/>
      <c r="D319" s="207"/>
      <c r="E319" s="207"/>
      <c r="F319" s="207"/>
      <c r="G319" s="207"/>
      <c r="H319" s="207"/>
      <c r="I319" s="75"/>
      <c r="J319" s="75"/>
      <c r="K319" s="75"/>
      <c r="L319" s="75"/>
      <c r="M319" s="75"/>
      <c r="N319" s="75"/>
      <c r="O319" s="75"/>
    </row>
    <row r="320" spans="1:15" ht="13.5" customHeight="1">
      <c r="A320" s="3"/>
      <c r="B320" s="3"/>
      <c r="C320" s="75"/>
      <c r="D320" s="207"/>
      <c r="E320" s="207"/>
      <c r="F320" s="207"/>
      <c r="G320" s="207"/>
      <c r="H320" s="207"/>
      <c r="I320" s="75"/>
      <c r="J320" s="75"/>
      <c r="K320" s="75"/>
      <c r="L320" s="75"/>
      <c r="M320" s="75"/>
      <c r="N320" s="75"/>
      <c r="O320" s="75"/>
    </row>
    <row r="321" spans="1:15" ht="13.5" customHeight="1">
      <c r="A321" s="3"/>
      <c r="B321" s="3"/>
      <c r="C321" s="75"/>
      <c r="D321" s="207"/>
      <c r="E321" s="207"/>
      <c r="F321" s="207"/>
      <c r="G321" s="207"/>
      <c r="H321" s="207"/>
      <c r="I321" s="75"/>
      <c r="J321" s="75"/>
      <c r="K321" s="75"/>
      <c r="L321" s="75"/>
      <c r="M321" s="75"/>
      <c r="N321" s="75"/>
      <c r="O321" s="75"/>
    </row>
    <row r="322" spans="1:15" ht="13.5" customHeight="1">
      <c r="A322" s="3"/>
      <c r="B322" s="3"/>
      <c r="C322" s="75"/>
      <c r="D322" s="207"/>
      <c r="E322" s="207"/>
      <c r="F322" s="207"/>
      <c r="G322" s="207"/>
      <c r="H322" s="207"/>
      <c r="I322" s="75"/>
      <c r="J322" s="75"/>
      <c r="K322" s="75"/>
      <c r="L322" s="75"/>
      <c r="M322" s="75"/>
      <c r="N322" s="75"/>
      <c r="O322" s="75"/>
    </row>
    <row r="323" spans="1:15" ht="13.5" customHeight="1">
      <c r="A323" s="3"/>
      <c r="B323" s="3"/>
      <c r="C323" s="75"/>
      <c r="D323" s="207"/>
      <c r="E323" s="207"/>
      <c r="F323" s="207"/>
      <c r="G323" s="207"/>
      <c r="H323" s="207"/>
      <c r="I323" s="75"/>
      <c r="J323" s="75"/>
      <c r="K323" s="75"/>
      <c r="L323" s="75"/>
      <c r="M323" s="75"/>
      <c r="N323" s="75"/>
      <c r="O323" s="75"/>
    </row>
    <row r="324" spans="1:15" ht="13.5" customHeight="1">
      <c r="A324" s="3"/>
      <c r="B324" s="3"/>
      <c r="C324" s="75"/>
      <c r="D324" s="207"/>
      <c r="E324" s="207"/>
      <c r="F324" s="207"/>
      <c r="G324" s="207"/>
      <c r="H324" s="207"/>
      <c r="I324" s="75"/>
      <c r="J324" s="75"/>
      <c r="K324" s="75"/>
      <c r="L324" s="75"/>
      <c r="M324" s="75"/>
      <c r="N324" s="75"/>
      <c r="O324" s="75"/>
    </row>
    <row r="325" spans="1:15" ht="13.5" customHeight="1">
      <c r="A325" s="3"/>
      <c r="B325" s="3"/>
      <c r="C325" s="75"/>
      <c r="D325" s="207"/>
      <c r="E325" s="207"/>
      <c r="F325" s="207"/>
      <c r="G325" s="207"/>
      <c r="H325" s="207"/>
      <c r="I325" s="75"/>
      <c r="J325" s="75"/>
      <c r="K325" s="75"/>
      <c r="L325" s="75"/>
      <c r="M325" s="75"/>
      <c r="N325" s="75"/>
      <c r="O325" s="75"/>
    </row>
    <row r="326" spans="1:15" ht="13.5" customHeight="1">
      <c r="A326" s="3"/>
      <c r="B326" s="3"/>
      <c r="C326" s="75"/>
      <c r="D326" s="207"/>
      <c r="E326" s="207"/>
      <c r="F326" s="207"/>
      <c r="G326" s="207"/>
      <c r="H326" s="207"/>
      <c r="I326" s="75"/>
      <c r="J326" s="75"/>
      <c r="K326" s="75"/>
      <c r="L326" s="75"/>
      <c r="M326" s="75"/>
      <c r="N326" s="75"/>
      <c r="O326" s="75"/>
    </row>
    <row r="327" spans="1:15" ht="13.5" customHeight="1">
      <c r="A327" s="3"/>
      <c r="B327" s="3"/>
      <c r="C327" s="75"/>
      <c r="D327" s="207"/>
      <c r="E327" s="207"/>
      <c r="F327" s="207"/>
      <c r="G327" s="207"/>
      <c r="H327" s="207"/>
      <c r="I327" s="75"/>
      <c r="J327" s="75"/>
      <c r="K327" s="75"/>
      <c r="L327" s="75"/>
      <c r="M327" s="75"/>
      <c r="N327" s="75"/>
      <c r="O327" s="75"/>
    </row>
    <row r="328" spans="1:15" ht="15.75" customHeight="1"/>
    <row r="329" spans="1:15" ht="15.75" customHeight="1"/>
    <row r="330" spans="1:15" ht="15.75" customHeight="1"/>
    <row r="331" spans="1:15" ht="15.75" customHeight="1"/>
    <row r="332" spans="1:15" ht="15.75" customHeight="1"/>
    <row r="333" spans="1:15" ht="15.75" customHeight="1"/>
    <row r="334" spans="1:15" ht="15.75" customHeight="1"/>
    <row r="335" spans="1:15" ht="15.75" customHeight="1"/>
    <row r="336" spans="1:1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H4"/>
    <mergeCell ref="C23:H25"/>
  </mergeCells>
  <pageMargins left="0.70000000000000007" right="0.70000000000000007" top="0.75000000000000011" bottom="0.7500000000000001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Y1000"/>
  <sheetViews>
    <sheetView showGridLines="0" workbookViewId="0"/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21.81640625" customWidth="1"/>
    <col min="4" max="4" width="29.54296875" customWidth="1"/>
    <col min="5" max="5" width="9.08984375" customWidth="1"/>
    <col min="6" max="6" width="20.26953125" customWidth="1"/>
    <col min="7" max="7" width="20.54296875" customWidth="1"/>
    <col min="8" max="8" width="19.453125" customWidth="1"/>
    <col min="9" max="9" width="18.453125" customWidth="1"/>
    <col min="10" max="10" width="19.7265625" customWidth="1"/>
    <col min="11" max="25" width="12.26953125" customWidth="1"/>
  </cols>
  <sheetData>
    <row r="1" spans="1:25" ht="13.5" customHeight="1">
      <c r="A1" s="1"/>
      <c r="B1" s="2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</row>
    <row r="2" spans="1:25" ht="13.5" customHeight="1">
      <c r="A2" s="1"/>
      <c r="B2" s="2"/>
      <c r="C2" s="340" t="s">
        <v>260</v>
      </c>
      <c r="D2" s="341"/>
      <c r="E2" s="341"/>
      <c r="F2" s="341"/>
      <c r="G2" s="341"/>
      <c r="H2" s="341"/>
      <c r="I2" s="341"/>
      <c r="J2" s="341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5" ht="13.5" customHeight="1">
      <c r="A3" s="1"/>
      <c r="B3" s="2"/>
      <c r="C3" s="341"/>
      <c r="D3" s="341"/>
      <c r="E3" s="341"/>
      <c r="F3" s="341"/>
      <c r="G3" s="341"/>
      <c r="H3" s="341"/>
      <c r="I3" s="341"/>
      <c r="J3" s="341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25" ht="13.5" customHeight="1">
      <c r="A4" s="1"/>
      <c r="B4" s="2"/>
      <c r="C4" s="341"/>
      <c r="D4" s="341"/>
      <c r="E4" s="341"/>
      <c r="F4" s="341"/>
      <c r="G4" s="341"/>
      <c r="H4" s="341"/>
      <c r="I4" s="341"/>
      <c r="J4" s="341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25" ht="13.5" customHeight="1">
      <c r="A5" s="1"/>
      <c r="B5" s="2"/>
      <c r="C5" s="105"/>
      <c r="D5" s="227"/>
      <c r="E5" s="106"/>
      <c r="F5" s="107">
        <f>OPEX!F5</f>
        <v>2021</v>
      </c>
      <c r="G5" s="107">
        <f>OPEX!G5</f>
        <v>2022</v>
      </c>
      <c r="H5" s="107">
        <f>OPEX!H5</f>
        <v>2023</v>
      </c>
      <c r="I5" s="107">
        <f>OPEX!I5</f>
        <v>2024</v>
      </c>
      <c r="J5" s="107">
        <f>OPEX!J5</f>
        <v>2025</v>
      </c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ht="13.5" customHeight="1">
      <c r="A6" s="1"/>
      <c r="B6" s="2"/>
      <c r="C6" s="3"/>
      <c r="D6" s="3"/>
      <c r="E6" s="3"/>
      <c r="F6" s="109"/>
      <c r="G6" s="109"/>
      <c r="H6" s="109"/>
      <c r="I6" s="109"/>
      <c r="J6" s="109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</row>
    <row r="7" spans="1:25" ht="13.5" customHeight="1">
      <c r="A7" s="1"/>
      <c r="B7" s="2"/>
      <c r="C7" s="157" t="s">
        <v>261</v>
      </c>
      <c r="D7" s="158"/>
      <c r="E7" s="157"/>
      <c r="F7" s="158"/>
      <c r="G7" s="228">
        <f t="shared" ref="G7:J7" si="0">F25</f>
        <v>13494718.557764977</v>
      </c>
      <c r="H7" s="228">
        <f t="shared" si="0"/>
        <v>33444607.115529962</v>
      </c>
      <c r="I7" s="228">
        <f t="shared" si="0"/>
        <v>61859229.098777004</v>
      </c>
      <c r="J7" s="228">
        <f t="shared" si="0"/>
        <v>98642753.935024053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</row>
    <row r="8" spans="1:25" ht="13.5" customHeight="1">
      <c r="A8" s="1"/>
      <c r="B8" s="2"/>
      <c r="C8" s="157" t="s">
        <v>130</v>
      </c>
      <c r="D8" s="158"/>
      <c r="E8" s="159" t="s">
        <v>262</v>
      </c>
      <c r="F8" s="160"/>
      <c r="G8" s="160"/>
      <c r="H8" s="160"/>
      <c r="I8" s="160"/>
      <c r="J8" s="160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</row>
    <row r="9" spans="1:25" ht="13.5" customHeight="1">
      <c r="A9" s="1"/>
      <c r="B9" s="2"/>
      <c r="C9" s="111"/>
      <c r="D9" s="229" t="s">
        <v>263</v>
      </c>
      <c r="E9" s="113" t="str">
        <f>Hypotheses!$E$13</f>
        <v>XOF</v>
      </c>
      <c r="F9" s="230"/>
      <c r="G9" s="230"/>
      <c r="H9" s="230"/>
      <c r="I9" s="230"/>
      <c r="J9" s="230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</row>
    <row r="10" spans="1:25" ht="13.5" customHeight="1">
      <c r="A10" s="1"/>
      <c r="B10" s="2"/>
      <c r="C10" s="111"/>
      <c r="D10" s="231" t="s">
        <v>264</v>
      </c>
      <c r="E10" s="124"/>
      <c r="F10" s="114">
        <f>OPEX!F23</f>
        <v>78475000</v>
      </c>
      <c r="G10" s="114">
        <f>OPEX!G23</f>
        <v>86158250</v>
      </c>
      <c r="H10" s="114">
        <f>OPEX!H23</f>
        <v>94769147.5</v>
      </c>
      <c r="I10" s="114">
        <f>OPEX!I23</f>
        <v>104429874.425</v>
      </c>
      <c r="J10" s="114">
        <f>OPEX!J23</f>
        <v>115279409.03275001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</row>
    <row r="11" spans="1:25" ht="13.5" customHeight="1">
      <c r="A11" s="1"/>
      <c r="B11" s="2"/>
      <c r="C11" s="111"/>
      <c r="D11" s="231" t="s">
        <v>265</v>
      </c>
      <c r="E11" s="118"/>
      <c r="F11" s="119">
        <f>'TA _Invest'!B2+'TA _Exploitation'!B2</f>
        <v>39300000</v>
      </c>
      <c r="G11" s="119"/>
      <c r="H11" s="119"/>
      <c r="I11" s="119"/>
      <c r="J11" s="119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</row>
    <row r="12" spans="1:25" ht="13.5" customHeight="1">
      <c r="A12" s="1"/>
      <c r="B12" s="2"/>
      <c r="C12" s="111" t="s">
        <v>195</v>
      </c>
      <c r="D12" s="117" t="s">
        <v>263</v>
      </c>
      <c r="E12" s="118" t="str">
        <f>Hypotheses!$E$13</f>
        <v>XOF</v>
      </c>
      <c r="F12" s="119">
        <f t="shared" ref="F12:J12" si="1">SUM(F10:F11)+F7</f>
        <v>117775000</v>
      </c>
      <c r="G12" s="119">
        <f t="shared" si="1"/>
        <v>99652968.557764977</v>
      </c>
      <c r="H12" s="119">
        <f t="shared" si="1"/>
        <v>128213754.61552995</v>
      </c>
      <c r="I12" s="119">
        <f t="shared" si="1"/>
        <v>166289103.52377701</v>
      </c>
      <c r="J12" s="119">
        <f t="shared" si="1"/>
        <v>213922162.96777406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</row>
    <row r="13" spans="1:25" ht="13.5" customHeight="1">
      <c r="A13" s="1"/>
      <c r="B13" s="2"/>
      <c r="C13" s="111"/>
      <c r="D13" s="229" t="s">
        <v>266</v>
      </c>
      <c r="E13" s="118" t="str">
        <f>Hypotheses!$E$13</f>
        <v>XOF</v>
      </c>
      <c r="F13" s="232"/>
      <c r="G13" s="232"/>
      <c r="H13" s="232"/>
      <c r="I13" s="232"/>
      <c r="J13" s="232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</row>
    <row r="14" spans="1:25" ht="13.5" customHeight="1">
      <c r="A14" s="1"/>
      <c r="B14" s="2"/>
      <c r="C14" s="4"/>
      <c r="D14" s="123" t="str">
        <f>OPEX!D25</f>
        <v>Salaires &amp; traitements</v>
      </c>
      <c r="E14" s="113" t="str">
        <f>Hypotheses!$E$13</f>
        <v>XOF</v>
      </c>
      <c r="F14" s="114">
        <f>OPEX!F25</f>
        <v>24000000</v>
      </c>
      <c r="G14" s="114">
        <f>OPEX!G25</f>
        <v>24720000</v>
      </c>
      <c r="H14" s="114">
        <f>OPEX!H25</f>
        <v>25461600</v>
      </c>
      <c r="I14" s="114">
        <f>OPEX!I25</f>
        <v>26225448</v>
      </c>
      <c r="J14" s="114">
        <f>OPEX!J25</f>
        <v>27012211.440000001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</row>
    <row r="15" spans="1:25" ht="13.5" customHeight="1">
      <c r="A15" s="1"/>
      <c r="B15" s="2"/>
      <c r="C15" s="4"/>
      <c r="D15" s="123" t="str">
        <f>OPEX!D26</f>
        <v>Achat de matière et fourniture liée</v>
      </c>
      <c r="E15" s="113" t="str">
        <f>Hypotheses!$E$13</f>
        <v>XOF</v>
      </c>
      <c r="F15" s="114">
        <f>OPEX!F26</f>
        <v>339600</v>
      </c>
      <c r="G15" s="114">
        <f>OPEX!G26</f>
        <v>340680</v>
      </c>
      <c r="H15" s="114">
        <f>OPEX!H26</f>
        <v>341792.4</v>
      </c>
      <c r="I15" s="114">
        <f>OPEX!I26</f>
        <v>342938.17200000002</v>
      </c>
      <c r="J15" s="114">
        <f>OPEX!J26</f>
        <v>344118.31715999998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</row>
    <row r="16" spans="1:25" ht="13.5" customHeight="1">
      <c r="A16" s="1"/>
      <c r="B16" s="2"/>
      <c r="C16" s="4"/>
      <c r="D16" s="123" t="str">
        <f>OPEX!D33</f>
        <v xml:space="preserve">Autres achats </v>
      </c>
      <c r="E16" s="113" t="str">
        <f>Hypotheses!$E$13</f>
        <v>XOF</v>
      </c>
      <c r="F16" s="114">
        <f>OPEX!F33</f>
        <v>27000000</v>
      </c>
      <c r="G16" s="114">
        <f>OPEX!G33</f>
        <v>27420000</v>
      </c>
      <c r="H16" s="114">
        <f>OPEX!H33</f>
        <v>27847200</v>
      </c>
      <c r="I16" s="114">
        <f>OPEX!I33</f>
        <v>28281732</v>
      </c>
      <c r="J16" s="114">
        <f>OPEX!J33</f>
        <v>28723730.52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</row>
    <row r="17" spans="1:25" ht="13.5" customHeight="1">
      <c r="A17" s="1"/>
      <c r="B17" s="2"/>
      <c r="C17" s="4"/>
      <c r="D17" s="123" t="str">
        <f>OPEX!D43</f>
        <v>Transport</v>
      </c>
      <c r="E17" s="113" t="str">
        <f>Hypotheses!$E$13</f>
        <v>XOF</v>
      </c>
      <c r="F17" s="114">
        <f>OPEX!F43</f>
        <v>2900000</v>
      </c>
      <c r="G17" s="114">
        <f>OPEX!G43</f>
        <v>2987000</v>
      </c>
      <c r="H17" s="114">
        <f>OPEX!H43</f>
        <v>3076610</v>
      </c>
      <c r="I17" s="114">
        <f>OPEX!I43</f>
        <v>3168908.3</v>
      </c>
      <c r="J17" s="114">
        <f>OPEX!J43</f>
        <v>3263975.5489999996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</row>
    <row r="18" spans="1:25" ht="13.5" customHeight="1">
      <c r="A18" s="1"/>
      <c r="B18" s="2"/>
      <c r="C18" s="4"/>
      <c r="D18" s="123" t="str">
        <f>OPEX!D44</f>
        <v>Services Extérieurs</v>
      </c>
      <c r="E18" s="113" t="str">
        <f>Hypotheses!$E$13</f>
        <v>XOF</v>
      </c>
      <c r="F18" s="114">
        <f>OPEX!F44</f>
        <v>0</v>
      </c>
      <c r="G18" s="114">
        <f>OPEX!G44</f>
        <v>0</v>
      </c>
      <c r="H18" s="114">
        <f>OPEX!H44</f>
        <v>0</v>
      </c>
      <c r="I18" s="114">
        <f>OPEX!I44</f>
        <v>0</v>
      </c>
      <c r="J18" s="114">
        <f>OPEX!J44</f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</row>
    <row r="19" spans="1:25" ht="13.5" customHeight="1">
      <c r="A19" s="1"/>
      <c r="B19" s="2"/>
      <c r="C19" s="4"/>
      <c r="D19" s="123" t="str">
        <f>OPEX!D45</f>
        <v>Location</v>
      </c>
      <c r="E19" s="113" t="str">
        <f>Hypotheses!$E$13</f>
        <v>XOF</v>
      </c>
      <c r="F19" s="114">
        <f>OPEX!F45</f>
        <v>0</v>
      </c>
      <c r="G19" s="114">
        <f>OPEX!G45</f>
        <v>0</v>
      </c>
      <c r="H19" s="114">
        <f>OPEX!H45</f>
        <v>0</v>
      </c>
      <c r="I19" s="114">
        <f>OPEX!I45</f>
        <v>0</v>
      </c>
      <c r="J19" s="114">
        <f>OPEX!J45</f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</row>
    <row r="20" spans="1:25" ht="13.5" customHeight="1">
      <c r="A20" s="1"/>
      <c r="B20" s="2"/>
      <c r="C20" s="4"/>
      <c r="D20" s="123" t="str">
        <f>OPEX!D46</f>
        <v>Impôt et Taxes</v>
      </c>
      <c r="E20" s="113" t="str">
        <f>Hypotheses!$E$13</f>
        <v>XOF</v>
      </c>
      <c r="F20" s="114">
        <f>OPEX!F46</f>
        <v>0</v>
      </c>
      <c r="G20" s="114">
        <f>OPEX!G46</f>
        <v>0</v>
      </c>
      <c r="H20" s="114">
        <f>OPEX!H46</f>
        <v>0</v>
      </c>
      <c r="I20" s="114">
        <f>OPEX!I46</f>
        <v>0</v>
      </c>
      <c r="J20" s="114">
        <f>OPEX!J46</f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3.5" customHeight="1">
      <c r="A21" s="1"/>
      <c r="B21" s="2"/>
      <c r="C21" s="4"/>
      <c r="D21" s="123" t="str">
        <f>OPEX!D47</f>
        <v>Autres charges</v>
      </c>
      <c r="E21" s="113" t="str">
        <f>Hypotheses!$E$13</f>
        <v>XOF</v>
      </c>
      <c r="F21" s="114">
        <f>OPEX!F47</f>
        <v>0</v>
      </c>
      <c r="G21" s="114">
        <f>OPEX!G47</f>
        <v>0</v>
      </c>
      <c r="H21" s="114">
        <f>OPEX!H47</f>
        <v>0</v>
      </c>
      <c r="I21" s="114">
        <f>OPEX!I47</f>
        <v>0</v>
      </c>
      <c r="J21" s="114">
        <f>OPEX!J47</f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  <row r="22" spans="1:25" ht="13.5" customHeight="1">
      <c r="A22" s="1"/>
      <c r="B22" s="2"/>
      <c r="C22" s="111"/>
      <c r="D22" s="123" t="s">
        <v>267</v>
      </c>
      <c r="E22" s="113" t="str">
        <f>Hypotheses!$E$13</f>
        <v>XOF</v>
      </c>
      <c r="F22" s="114">
        <f>Cashflow!F17</f>
        <v>39300000</v>
      </c>
      <c r="G22" s="114">
        <f>Cashflow!G17</f>
        <v>0</v>
      </c>
      <c r="H22" s="114">
        <f>Cashflow!H17</f>
        <v>0</v>
      </c>
      <c r="I22" s="114">
        <f>Cashflow!I17</f>
        <v>0</v>
      </c>
      <c r="J22" s="114">
        <f>Cashflow!J17</f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</row>
    <row r="23" spans="1:25" ht="13.5" customHeight="1">
      <c r="A23" s="1"/>
      <c r="B23" s="2"/>
      <c r="C23" s="4"/>
      <c r="D23" s="123" t="s">
        <v>268</v>
      </c>
      <c r="E23" s="113" t="str">
        <f>Hypotheses!$E$13</f>
        <v>XOF</v>
      </c>
      <c r="F23" s="114">
        <f>'TA _Invest'!J17+'TA _Invest'!J18+'TA _Exploitation'!J17+'TA _Exploitation'!J18</f>
        <v>10740681.442235015</v>
      </c>
      <c r="G23" s="114">
        <f>'TA _Invest'!K17+'TA _Invest'!K18+'TA _Exploitation'!K17+'TA _Exploitation'!K18</f>
        <v>10740681.442235017</v>
      </c>
      <c r="H23" s="114">
        <f>'TA _Invest'!L17+'TA _Invest'!L18+'TA _Exploitation'!L17+'TA _Exploitation'!L18</f>
        <v>9627323.1167529505</v>
      </c>
      <c r="I23" s="114">
        <f>'TA _Invest'!M17+'TA _Invest'!M18+'TA _Exploitation'!M17+'TA _Exploitation'!M18</f>
        <v>9627323.1167529523</v>
      </c>
      <c r="J23" s="114">
        <f>'TA _Invest'!N17+'TA _Invest'!N18+'TA _Exploitation'!N17+'TA _Exploitation'!N18</f>
        <v>9627323.1167529505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</row>
    <row r="24" spans="1:25" ht="13.5" customHeight="1">
      <c r="A24" s="1"/>
      <c r="B24" s="2"/>
      <c r="C24" s="111" t="s">
        <v>269</v>
      </c>
      <c r="D24" s="4"/>
      <c r="E24" s="113" t="str">
        <f>Hypotheses!$E$13</f>
        <v>XOF</v>
      </c>
      <c r="F24" s="120">
        <f>SUM(F14:F23)</f>
        <v>104280281.44223502</v>
      </c>
      <c r="G24" s="120">
        <f t="shared" ref="G24:J24" si="2">SUM(G14:G16)+SUM(G17:G23)</f>
        <v>66208361.442235015</v>
      </c>
      <c r="H24" s="120">
        <f t="shared" si="2"/>
        <v>66354525.516752951</v>
      </c>
      <c r="I24" s="120">
        <f t="shared" si="2"/>
        <v>67646349.588752955</v>
      </c>
      <c r="J24" s="120">
        <f t="shared" si="2"/>
        <v>68971358.942912951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</row>
    <row r="25" spans="1:25" ht="13.5" customHeight="1">
      <c r="A25" s="1"/>
      <c r="B25" s="2"/>
      <c r="C25" s="157" t="s">
        <v>270</v>
      </c>
      <c r="D25" s="158"/>
      <c r="E25" s="113" t="str">
        <f>Hypotheses!$E$13</f>
        <v>XOF</v>
      </c>
      <c r="F25" s="145">
        <f t="shared" ref="F25:J25" si="3">F12-F24</f>
        <v>13494718.557764977</v>
      </c>
      <c r="G25" s="145">
        <f t="shared" si="3"/>
        <v>33444607.115529962</v>
      </c>
      <c r="H25" s="145">
        <f t="shared" si="3"/>
        <v>61859229.098777004</v>
      </c>
      <c r="I25" s="145">
        <f t="shared" si="3"/>
        <v>98642753.935024053</v>
      </c>
      <c r="J25" s="145">
        <f t="shared" si="3"/>
        <v>144950804.0248611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</row>
    <row r="26" spans="1:25" ht="13.5" customHeight="1">
      <c r="A26" s="1"/>
      <c r="B26" s="2"/>
      <c r="C26" s="3"/>
      <c r="D26" s="3"/>
      <c r="E26" s="3"/>
      <c r="F26" s="3"/>
      <c r="G26" s="3"/>
      <c r="H26" s="3"/>
      <c r="I26" s="3"/>
      <c r="J26" s="3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</row>
    <row r="27" spans="1:25" ht="13.5" customHeight="1">
      <c r="A27" s="1"/>
      <c r="B27" s="2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</row>
    <row r="28" spans="1:25" ht="13.5" customHeight="1">
      <c r="A28" s="1"/>
      <c r="B28" s="2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</row>
    <row r="29" spans="1:25" ht="13.5" customHeight="1">
      <c r="A29" s="1"/>
      <c r="B29" s="2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</row>
    <row r="30" spans="1:25" ht="13.5" customHeight="1">
      <c r="A30" s="1"/>
      <c r="B30" s="2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</row>
    <row r="31" spans="1:25" ht="13.5" customHeight="1">
      <c r="A31" s="1"/>
      <c r="B31" s="2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</row>
    <row r="32" spans="1:25" ht="13.5" customHeight="1">
      <c r="A32" s="1"/>
      <c r="B32" s="2"/>
      <c r="C32" s="3"/>
      <c r="D32" s="3"/>
      <c r="E32" s="3"/>
      <c r="F32" s="3"/>
      <c r="G32" s="3"/>
      <c r="H32" s="3"/>
      <c r="I32" s="3"/>
      <c r="J32" s="3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</row>
    <row r="33" spans="1:25" ht="13.5" customHeight="1">
      <c r="A33" s="1"/>
      <c r="B33" s="2"/>
      <c r="C33" s="3"/>
      <c r="D33" s="3"/>
      <c r="E33" s="3"/>
      <c r="F33" s="3"/>
      <c r="G33" s="3"/>
      <c r="H33" s="3"/>
      <c r="I33" s="3"/>
      <c r="J33" s="3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</row>
    <row r="34" spans="1:25" ht="13.5" customHeight="1">
      <c r="A34" s="1"/>
      <c r="B34" s="2"/>
      <c r="C34" s="3"/>
      <c r="D34" s="3"/>
      <c r="E34" s="3"/>
      <c r="F34" s="3"/>
      <c r="G34" s="3"/>
      <c r="H34" s="3"/>
      <c r="I34" s="3"/>
      <c r="J34" s="3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</row>
    <row r="35" spans="1:25" ht="13.5" customHeight="1">
      <c r="A35" s="1"/>
      <c r="B35" s="2"/>
      <c r="C35" s="128"/>
      <c r="D35" s="128"/>
      <c r="E35" s="128"/>
      <c r="F35" s="128"/>
      <c r="G35" s="128"/>
      <c r="H35" s="128"/>
      <c r="I35" s="128"/>
      <c r="J35" s="128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</row>
    <row r="36" spans="1:25" ht="13.5" customHeight="1">
      <c r="A36" s="1"/>
      <c r="B36" s="2"/>
      <c r="C36" s="128"/>
      <c r="D36" s="128"/>
      <c r="E36" s="128"/>
      <c r="F36" s="128"/>
      <c r="G36" s="128"/>
      <c r="H36" s="128"/>
      <c r="I36" s="128"/>
      <c r="J36" s="128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</row>
    <row r="37" spans="1:25" ht="13.5" customHeight="1">
      <c r="A37" s="1"/>
      <c r="B37" s="2"/>
      <c r="C37" s="3"/>
      <c r="D37" s="3"/>
      <c r="E37" s="3"/>
      <c r="F37" s="3"/>
      <c r="G37" s="3"/>
      <c r="H37" s="3"/>
      <c r="I37" s="3"/>
      <c r="J37" s="3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</row>
    <row r="38" spans="1:25" ht="13.5" customHeight="1">
      <c r="A38" s="44"/>
      <c r="B38" s="45"/>
      <c r="C38" s="3"/>
      <c r="D38" s="3"/>
      <c r="E38" s="3"/>
      <c r="F38" s="3"/>
      <c r="G38" s="3"/>
      <c r="H38" s="3"/>
      <c r="I38" s="3"/>
      <c r="J38" s="3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</row>
    <row r="39" spans="1:25" ht="13.5" customHeight="1">
      <c r="A39" s="44"/>
      <c r="B39" s="45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</row>
    <row r="40" spans="1:25" ht="13.5" customHeight="1">
      <c r="A40" s="44"/>
      <c r="B40" s="45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</row>
    <row r="41" spans="1:25" ht="13.5" customHeight="1">
      <c r="A41" s="44"/>
      <c r="B41" s="45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</row>
    <row r="42" spans="1:25" ht="13.5" customHeight="1">
      <c r="A42" s="44"/>
      <c r="B42" s="45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</row>
    <row r="43" spans="1:25" ht="13.5" customHeight="1">
      <c r="A43" s="44"/>
      <c r="B43" s="45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</row>
    <row r="44" spans="1:25" ht="13.5" customHeight="1">
      <c r="A44" s="44"/>
      <c r="B44" s="45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</row>
    <row r="45" spans="1:25" ht="13.5" customHeight="1">
      <c r="A45" s="44"/>
      <c r="B45" s="45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</row>
    <row r="46" spans="1:25" ht="13.5" customHeight="1">
      <c r="A46" s="44"/>
      <c r="B46" s="45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</row>
    <row r="47" spans="1:25" ht="13.5" customHeight="1">
      <c r="A47" s="44"/>
      <c r="B47" s="45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</row>
    <row r="48" spans="1:25" ht="13.5" customHeight="1">
      <c r="A48" s="44"/>
      <c r="B48" s="45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</row>
    <row r="49" spans="1:25" ht="13.5" customHeight="1">
      <c r="A49" s="44"/>
      <c r="B49" s="45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</row>
    <row r="50" spans="1:25" ht="13.5" customHeight="1">
      <c r="A50" s="44"/>
      <c r="B50" s="45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</row>
    <row r="51" spans="1:25" ht="13.5" customHeight="1">
      <c r="A51" s="44"/>
      <c r="B51" s="45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</row>
    <row r="52" spans="1:25" ht="13.5" customHeight="1">
      <c r="A52" s="44"/>
      <c r="B52" s="45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</row>
    <row r="53" spans="1:25" ht="13.5" customHeight="1">
      <c r="A53" s="44"/>
      <c r="B53" s="45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</row>
    <row r="54" spans="1:25" ht="13.5" customHeight="1">
      <c r="A54" s="44"/>
      <c r="B54" s="45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</row>
    <row r="55" spans="1:25" ht="13.5" customHeight="1">
      <c r="A55" s="44"/>
      <c r="B55" s="45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</row>
    <row r="56" spans="1:25" ht="13.5" customHeight="1">
      <c r="A56" s="44"/>
      <c r="B56" s="45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</row>
    <row r="57" spans="1:25" ht="13.5" customHeight="1">
      <c r="A57" s="44"/>
      <c r="B57" s="45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</row>
    <row r="58" spans="1:25" ht="13.5" customHeight="1">
      <c r="A58" s="44"/>
      <c r="B58" s="45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</row>
    <row r="59" spans="1:25" ht="13.5" customHeight="1">
      <c r="A59" s="44"/>
      <c r="B59" s="45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</row>
    <row r="60" spans="1:25" ht="13.5" customHeight="1">
      <c r="A60" s="44"/>
      <c r="B60" s="45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</row>
    <row r="61" spans="1:25" ht="13.5" customHeight="1">
      <c r="A61" s="44"/>
      <c r="B61" s="45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</row>
    <row r="62" spans="1:25" ht="13.5" customHeight="1">
      <c r="A62" s="44"/>
      <c r="B62" s="45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</row>
    <row r="63" spans="1:25" ht="13.5" customHeight="1">
      <c r="A63" s="44"/>
      <c r="B63" s="45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</row>
    <row r="64" spans="1:25" ht="13.5" customHeight="1">
      <c r="A64" s="44"/>
      <c r="B64" s="45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</row>
    <row r="65" spans="1:25" ht="13.5" customHeight="1">
      <c r="A65" s="44"/>
      <c r="B65" s="45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</row>
    <row r="66" spans="1:25" ht="13.5" customHeight="1">
      <c r="A66" s="44"/>
      <c r="B66" s="45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</row>
    <row r="67" spans="1:25" ht="13.5" customHeight="1">
      <c r="A67" s="44"/>
      <c r="B67" s="45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</row>
    <row r="68" spans="1:25" ht="13.5" customHeight="1">
      <c r="A68" s="44"/>
      <c r="B68" s="45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</row>
    <row r="69" spans="1:25" ht="13.5" customHeight="1">
      <c r="A69" s="44"/>
      <c r="B69" s="45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</row>
    <row r="70" spans="1:25" ht="13.5" customHeight="1">
      <c r="A70" s="44"/>
      <c r="B70" s="45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</row>
    <row r="71" spans="1:25" ht="13.5" customHeight="1">
      <c r="A71" s="44"/>
      <c r="B71" s="45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</row>
    <row r="72" spans="1:25" ht="13.5" customHeight="1">
      <c r="A72" s="44"/>
      <c r="B72" s="45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</row>
    <row r="73" spans="1:25" ht="13.5" customHeight="1">
      <c r="A73" s="44"/>
      <c r="B73" s="45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</row>
    <row r="74" spans="1:25" ht="13.5" customHeight="1">
      <c r="A74" s="44"/>
      <c r="B74" s="45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</row>
    <row r="75" spans="1:25" ht="13.5" customHeight="1">
      <c r="A75" s="44"/>
      <c r="B75" s="45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</row>
    <row r="76" spans="1:25" ht="13.5" customHeight="1">
      <c r="A76" s="44"/>
      <c r="B76" s="45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</row>
    <row r="77" spans="1:25" ht="13.5" customHeight="1">
      <c r="A77" s="44"/>
      <c r="B77" s="45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</row>
    <row r="78" spans="1:25" ht="13.5" customHeight="1">
      <c r="A78" s="44"/>
      <c r="B78" s="45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</row>
    <row r="79" spans="1:25" ht="13.5" customHeight="1">
      <c r="A79" s="44"/>
      <c r="B79" s="45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</row>
    <row r="80" spans="1:25" ht="13.5" customHeight="1">
      <c r="A80" s="44"/>
      <c r="B80" s="45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</row>
    <row r="81" spans="1:25" ht="13.5" customHeight="1">
      <c r="A81" s="44"/>
      <c r="B81" s="45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</row>
    <row r="82" spans="1:25" ht="13.5" customHeight="1">
      <c r="A82" s="44"/>
      <c r="B82" s="45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</row>
    <row r="83" spans="1:25" ht="13.5" customHeight="1">
      <c r="A83" s="44"/>
      <c r="B83" s="45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</row>
    <row r="84" spans="1:25" ht="13.5" customHeight="1">
      <c r="A84" s="44"/>
      <c r="B84" s="45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</row>
    <row r="85" spans="1:25" ht="13.5" customHeight="1">
      <c r="A85" s="44"/>
      <c r="B85" s="45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</row>
    <row r="86" spans="1:25" ht="13.5" customHeight="1">
      <c r="A86" s="44"/>
      <c r="B86" s="45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</row>
    <row r="87" spans="1:25" ht="13.5" customHeight="1">
      <c r="A87" s="44"/>
      <c r="B87" s="45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</row>
    <row r="88" spans="1:25" ht="13.5" customHeight="1">
      <c r="A88" s="44"/>
      <c r="B88" s="45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</row>
    <row r="89" spans="1:25" ht="13.5" customHeight="1">
      <c r="A89" s="44"/>
      <c r="B89" s="45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</row>
    <row r="90" spans="1:25" ht="13.5" customHeight="1">
      <c r="A90" s="44"/>
      <c r="B90" s="45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</row>
    <row r="91" spans="1:25" ht="13.5" customHeight="1">
      <c r="A91" s="44"/>
      <c r="B91" s="45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</row>
    <row r="92" spans="1:25" ht="13.5" customHeight="1">
      <c r="A92" s="44"/>
      <c r="B92" s="45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</row>
    <row r="93" spans="1:25" ht="13.5" customHeight="1">
      <c r="A93" s="44"/>
      <c r="B93" s="45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</row>
    <row r="94" spans="1:25" ht="13.5" customHeight="1">
      <c r="A94" s="44"/>
      <c r="B94" s="45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</row>
    <row r="95" spans="1:25" ht="13.5" customHeight="1">
      <c r="A95" s="44"/>
      <c r="B95" s="45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</row>
    <row r="96" spans="1:25" ht="13.5" customHeight="1">
      <c r="A96" s="44"/>
      <c r="B96" s="45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</row>
    <row r="97" spans="1:25" ht="13.5" customHeight="1">
      <c r="A97" s="44"/>
      <c r="B97" s="45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</row>
    <row r="98" spans="1:25" ht="13.5" customHeight="1">
      <c r="A98" s="44"/>
      <c r="B98" s="45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</row>
    <row r="99" spans="1:25" ht="13.5" customHeight="1">
      <c r="A99" s="44"/>
      <c r="B99" s="45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</row>
    <row r="100" spans="1:25" ht="13.5" customHeight="1">
      <c r="A100" s="44"/>
      <c r="B100" s="45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</row>
    <row r="101" spans="1:25" ht="13.5" customHeight="1">
      <c r="A101" s="44"/>
      <c r="B101" s="45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</row>
    <row r="102" spans="1:25" ht="13.5" customHeight="1">
      <c r="A102" s="44"/>
      <c r="B102" s="4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</row>
    <row r="103" spans="1:25" ht="13.5" customHeight="1">
      <c r="A103" s="44"/>
      <c r="B103" s="45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</row>
    <row r="104" spans="1:25" ht="13.5" customHeight="1">
      <c r="A104" s="44"/>
      <c r="B104" s="45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</row>
    <row r="105" spans="1:25" ht="13.5" customHeight="1">
      <c r="A105" s="44"/>
      <c r="B105" s="45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</row>
    <row r="106" spans="1:25" ht="13.5" customHeight="1">
      <c r="A106" s="44"/>
      <c r="B106" s="45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</row>
    <row r="107" spans="1:25" ht="13.5" customHeight="1">
      <c r="A107" s="44"/>
      <c r="B107" s="45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</row>
    <row r="108" spans="1:25" ht="13.5" customHeight="1">
      <c r="A108" s="44"/>
      <c r="B108" s="45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</row>
    <row r="109" spans="1:25" ht="13.5" customHeight="1">
      <c r="A109" s="44"/>
      <c r="B109" s="45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</row>
    <row r="110" spans="1:25" ht="13.5" customHeight="1">
      <c r="A110" s="44"/>
      <c r="B110" s="45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</row>
    <row r="111" spans="1:25" ht="13.5" customHeight="1">
      <c r="A111" s="44"/>
      <c r="B111" s="45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</row>
    <row r="112" spans="1:25" ht="13.5" customHeight="1">
      <c r="A112" s="44"/>
      <c r="B112" s="45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</row>
    <row r="113" spans="1:25" ht="13.5" customHeight="1">
      <c r="A113" s="44"/>
      <c r="B113" s="45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</row>
    <row r="114" spans="1:25" ht="13.5" customHeight="1">
      <c r="A114" s="44"/>
      <c r="B114" s="45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</row>
    <row r="115" spans="1:25" ht="13.5" customHeight="1">
      <c r="A115" s="44"/>
      <c r="B115" s="45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</row>
    <row r="116" spans="1:25" ht="13.5" customHeight="1">
      <c r="A116" s="44"/>
      <c r="B116" s="45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</row>
    <row r="117" spans="1:25" ht="13.5" customHeight="1">
      <c r="A117" s="3"/>
      <c r="B117" s="3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</row>
    <row r="118" spans="1:25" ht="13.5" customHeight="1">
      <c r="A118" s="3"/>
      <c r="B118" s="3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</row>
    <row r="119" spans="1:25" ht="13.5" customHeight="1">
      <c r="A119" s="3"/>
      <c r="B119" s="3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</row>
    <row r="120" spans="1:25" ht="13.5" customHeight="1">
      <c r="A120" s="3"/>
      <c r="B120" s="3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</row>
    <row r="121" spans="1:25" ht="13.5" customHeight="1">
      <c r="A121" s="3"/>
      <c r="B121" s="3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</row>
    <row r="122" spans="1:25" ht="13.5" customHeight="1">
      <c r="A122" s="3"/>
      <c r="B122" s="3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</row>
    <row r="123" spans="1:25" ht="13.5" customHeight="1">
      <c r="A123" s="3"/>
      <c r="B123" s="3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</row>
    <row r="124" spans="1:25" ht="13.5" customHeight="1">
      <c r="A124" s="3"/>
      <c r="B124" s="3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</row>
    <row r="125" spans="1:25" ht="13.5" customHeight="1">
      <c r="A125" s="3"/>
      <c r="B125" s="3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</row>
    <row r="126" spans="1:25" ht="13.5" customHeight="1">
      <c r="A126" s="3"/>
      <c r="B126" s="3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</row>
    <row r="127" spans="1:25" ht="13.5" customHeight="1">
      <c r="A127" s="3"/>
      <c r="B127" s="3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</row>
    <row r="128" spans="1:25" ht="13.5" customHeight="1">
      <c r="A128" s="3"/>
      <c r="B128" s="3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</row>
    <row r="129" spans="1:25" ht="13.5" customHeight="1">
      <c r="A129" s="3"/>
      <c r="B129" s="3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</row>
    <row r="130" spans="1:25" ht="13.5" customHeight="1">
      <c r="A130" s="3"/>
      <c r="B130" s="3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</row>
    <row r="131" spans="1:25" ht="13.5" customHeight="1">
      <c r="A131" s="3"/>
      <c r="B131" s="3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</row>
    <row r="132" spans="1:25" ht="13.5" customHeight="1">
      <c r="A132" s="3"/>
      <c r="B132" s="3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</row>
    <row r="133" spans="1:25" ht="13.5" customHeight="1">
      <c r="A133" s="3"/>
      <c r="B133" s="3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</row>
    <row r="134" spans="1:25" ht="13.5" customHeight="1">
      <c r="A134" s="3"/>
      <c r="B134" s="3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</row>
    <row r="135" spans="1:25" ht="13.5" customHeight="1">
      <c r="A135" s="3"/>
      <c r="B135" s="3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</row>
    <row r="136" spans="1:25" ht="13.5" customHeight="1">
      <c r="A136" s="3"/>
      <c r="B136" s="3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</row>
    <row r="137" spans="1:25" ht="13.5" customHeight="1">
      <c r="A137" s="3"/>
      <c r="B137" s="3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</row>
    <row r="138" spans="1:25" ht="13.5" customHeight="1">
      <c r="A138" s="3"/>
      <c r="B138" s="3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</row>
    <row r="139" spans="1:25" ht="13.5" customHeight="1">
      <c r="A139" s="3"/>
      <c r="B139" s="3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</row>
    <row r="140" spans="1:25" ht="13.5" customHeight="1">
      <c r="A140" s="3"/>
      <c r="B140" s="3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</row>
    <row r="141" spans="1:25" ht="13.5" customHeight="1">
      <c r="A141" s="3"/>
      <c r="B141" s="3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</row>
    <row r="142" spans="1:25" ht="13.5" customHeight="1">
      <c r="A142" s="3"/>
      <c r="B142" s="3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</row>
    <row r="143" spans="1:25" ht="13.5" customHeight="1">
      <c r="A143" s="3"/>
      <c r="B143" s="3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</row>
    <row r="144" spans="1:25" ht="13.5" customHeight="1">
      <c r="A144" s="3"/>
      <c r="B144" s="3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</row>
    <row r="145" spans="1:25" ht="13.5" customHeight="1">
      <c r="A145" s="3"/>
      <c r="B145" s="3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</row>
    <row r="146" spans="1:25" ht="13.5" customHeight="1">
      <c r="A146" s="3"/>
      <c r="B146" s="3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</row>
    <row r="147" spans="1:25" ht="13.5" customHeight="1">
      <c r="A147" s="3"/>
      <c r="B147" s="3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</row>
    <row r="148" spans="1:25" ht="13.5" customHeight="1">
      <c r="A148" s="3"/>
      <c r="B148" s="3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</row>
    <row r="149" spans="1:25" ht="13.5" customHeight="1">
      <c r="A149" s="3"/>
      <c r="B149" s="3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</row>
    <row r="150" spans="1:25" ht="13.5" customHeight="1">
      <c r="A150" s="3"/>
      <c r="B150" s="3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</row>
    <row r="151" spans="1:25" ht="13.5" customHeight="1">
      <c r="A151" s="3"/>
      <c r="B151" s="3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</row>
    <row r="152" spans="1:25" ht="13.5" customHeight="1">
      <c r="A152" s="3"/>
      <c r="B152" s="3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</row>
    <row r="153" spans="1:25" ht="13.5" customHeight="1">
      <c r="A153" s="3"/>
      <c r="B153" s="3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</row>
    <row r="154" spans="1:25" ht="13.5" customHeight="1">
      <c r="A154" s="3"/>
      <c r="B154" s="3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</row>
    <row r="155" spans="1:25" ht="13.5" customHeight="1">
      <c r="A155" s="3"/>
      <c r="B155" s="3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</row>
    <row r="156" spans="1:25" ht="13.5" customHeight="1">
      <c r="A156" s="3"/>
      <c r="B156" s="3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</row>
    <row r="157" spans="1:25" ht="13.5" customHeight="1">
      <c r="A157" s="3"/>
      <c r="B157" s="3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</row>
    <row r="158" spans="1:25" ht="13.5" customHeight="1">
      <c r="A158" s="3"/>
      <c r="B158" s="3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</row>
    <row r="159" spans="1:25" ht="13.5" customHeight="1">
      <c r="A159" s="3"/>
      <c r="B159" s="3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</row>
    <row r="160" spans="1:25" ht="13.5" customHeight="1">
      <c r="A160" s="3"/>
      <c r="B160" s="3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</row>
    <row r="161" spans="1:25" ht="13.5" customHeight="1">
      <c r="A161" s="3"/>
      <c r="B161" s="3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</row>
    <row r="162" spans="1:25" ht="13.5" customHeight="1">
      <c r="A162" s="3"/>
      <c r="B162" s="3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</row>
    <row r="163" spans="1:25" ht="13.5" customHeight="1">
      <c r="A163" s="3"/>
      <c r="B163" s="3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</row>
    <row r="164" spans="1:25" ht="13.5" customHeight="1">
      <c r="A164" s="3"/>
      <c r="B164" s="3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</row>
    <row r="165" spans="1:25" ht="13.5" customHeight="1">
      <c r="A165" s="3"/>
      <c r="B165" s="3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</row>
    <row r="166" spans="1:25" ht="13.5" customHeight="1">
      <c r="A166" s="3"/>
      <c r="B166" s="3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</row>
    <row r="167" spans="1:25" ht="13.5" customHeight="1">
      <c r="A167" s="3"/>
      <c r="B167" s="3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</row>
    <row r="168" spans="1:25" ht="13.5" customHeight="1">
      <c r="A168" s="3"/>
      <c r="B168" s="3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</row>
    <row r="169" spans="1:25" ht="13.5" customHeight="1">
      <c r="A169" s="3"/>
      <c r="B169" s="3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</row>
    <row r="170" spans="1:25" ht="13.5" customHeight="1">
      <c r="A170" s="3"/>
      <c r="B170" s="3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</row>
    <row r="171" spans="1:25" ht="13.5" customHeight="1">
      <c r="A171" s="3"/>
      <c r="B171" s="3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</row>
    <row r="172" spans="1:25" ht="13.5" customHeight="1">
      <c r="A172" s="3"/>
      <c r="B172" s="3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</row>
    <row r="173" spans="1:25" ht="13.5" customHeight="1">
      <c r="A173" s="3"/>
      <c r="B173" s="3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</row>
    <row r="174" spans="1:25" ht="13.5" customHeight="1">
      <c r="A174" s="3"/>
      <c r="B174" s="3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</row>
    <row r="175" spans="1:25" ht="13.5" customHeight="1">
      <c r="A175" s="3"/>
      <c r="B175" s="3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</row>
    <row r="176" spans="1:25" ht="13.5" customHeight="1">
      <c r="A176" s="3"/>
      <c r="B176" s="3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</row>
    <row r="177" spans="1:25" ht="13.5" customHeight="1">
      <c r="A177" s="3"/>
      <c r="B177" s="3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</row>
    <row r="178" spans="1:25" ht="13.5" customHeight="1">
      <c r="A178" s="3"/>
      <c r="B178" s="3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</row>
    <row r="179" spans="1:25" ht="13.5" customHeight="1">
      <c r="A179" s="3"/>
      <c r="B179" s="3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</row>
    <row r="180" spans="1:25" ht="13.5" customHeight="1">
      <c r="A180" s="3"/>
      <c r="B180" s="3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</row>
    <row r="181" spans="1:25" ht="13.5" customHeight="1">
      <c r="A181" s="3"/>
      <c r="B181" s="3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</row>
    <row r="182" spans="1:25" ht="13.5" customHeight="1">
      <c r="A182" s="3"/>
      <c r="B182" s="3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</row>
    <row r="183" spans="1:25" ht="13.5" customHeight="1">
      <c r="A183" s="3"/>
      <c r="B183" s="3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</row>
    <row r="184" spans="1:25" ht="13.5" customHeight="1">
      <c r="A184" s="3"/>
      <c r="B184" s="3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</row>
    <row r="185" spans="1:25" ht="13.5" customHeight="1">
      <c r="A185" s="3"/>
      <c r="B185" s="3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</row>
    <row r="186" spans="1:25" ht="13.5" customHeight="1">
      <c r="A186" s="3"/>
      <c r="B186" s="3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</row>
    <row r="187" spans="1:25" ht="13.5" customHeight="1">
      <c r="A187" s="3"/>
      <c r="B187" s="3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</row>
    <row r="188" spans="1:25" ht="13.5" customHeight="1">
      <c r="A188" s="3"/>
      <c r="B188" s="3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</row>
    <row r="189" spans="1:25" ht="13.5" customHeight="1">
      <c r="A189" s="3"/>
      <c r="B189" s="3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</row>
    <row r="190" spans="1:25" ht="13.5" customHeight="1">
      <c r="A190" s="3"/>
      <c r="B190" s="3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</row>
    <row r="191" spans="1:25" ht="13.5" customHeight="1">
      <c r="A191" s="3"/>
      <c r="B191" s="3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</row>
    <row r="192" spans="1:25" ht="13.5" customHeight="1">
      <c r="A192" s="3"/>
      <c r="B192" s="3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</row>
    <row r="193" spans="1:25" ht="13.5" customHeight="1">
      <c r="A193" s="3"/>
      <c r="B193" s="3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</row>
    <row r="194" spans="1:25" ht="13.5" customHeight="1">
      <c r="A194" s="3"/>
      <c r="B194" s="3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</row>
    <row r="195" spans="1:25" ht="13.5" customHeight="1">
      <c r="A195" s="3"/>
      <c r="B195" s="3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</row>
    <row r="196" spans="1:25" ht="13.5" customHeight="1">
      <c r="A196" s="3"/>
      <c r="B196" s="3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</row>
    <row r="197" spans="1:25" ht="13.5" customHeight="1">
      <c r="A197" s="3"/>
      <c r="B197" s="3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</row>
    <row r="198" spans="1:25" ht="13.5" customHeight="1">
      <c r="A198" s="3"/>
      <c r="B198" s="3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</row>
    <row r="199" spans="1:25" ht="13.5" customHeight="1">
      <c r="A199" s="3"/>
      <c r="B199" s="3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</row>
    <row r="200" spans="1:25" ht="13.5" customHeight="1">
      <c r="A200" s="3"/>
      <c r="B200" s="3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</row>
    <row r="201" spans="1:25" ht="13.5" customHeight="1">
      <c r="A201" s="3"/>
      <c r="B201" s="3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</row>
    <row r="202" spans="1:25" ht="13.5" customHeight="1">
      <c r="A202" s="3"/>
      <c r="B202" s="3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</row>
    <row r="203" spans="1:25" ht="13.5" customHeight="1">
      <c r="A203" s="3"/>
      <c r="B203" s="3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</row>
    <row r="204" spans="1:25" ht="13.5" customHeight="1">
      <c r="A204" s="3"/>
      <c r="B204" s="3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</row>
    <row r="205" spans="1:25" ht="13.5" customHeight="1">
      <c r="A205" s="3"/>
      <c r="B205" s="3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</row>
    <row r="206" spans="1:25" ht="13.5" customHeight="1">
      <c r="A206" s="3"/>
      <c r="B206" s="3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</row>
    <row r="207" spans="1:25" ht="13.5" customHeight="1">
      <c r="A207" s="3"/>
      <c r="B207" s="3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</row>
    <row r="208" spans="1:25" ht="13.5" customHeight="1">
      <c r="A208" s="3"/>
      <c r="B208" s="3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</row>
    <row r="209" spans="1:25" ht="13.5" customHeight="1">
      <c r="A209" s="3"/>
      <c r="B209" s="3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</row>
    <row r="210" spans="1:25" ht="13.5" customHeight="1">
      <c r="A210" s="3"/>
      <c r="B210" s="3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</row>
    <row r="211" spans="1:25" ht="13.5" customHeight="1">
      <c r="A211" s="3"/>
      <c r="B211" s="3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</row>
    <row r="212" spans="1:25" ht="13.5" customHeight="1">
      <c r="A212" s="3"/>
      <c r="B212" s="3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</row>
    <row r="213" spans="1:25" ht="13.5" customHeight="1">
      <c r="A213" s="3"/>
      <c r="B213" s="3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</row>
    <row r="214" spans="1:25" ht="13.5" customHeight="1">
      <c r="A214" s="3"/>
      <c r="B214" s="3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</row>
    <row r="215" spans="1:25" ht="13.5" customHeight="1">
      <c r="A215" s="3"/>
      <c r="B215" s="3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</row>
    <row r="216" spans="1:25" ht="13.5" customHeight="1">
      <c r="A216" s="3"/>
      <c r="B216" s="3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</row>
    <row r="217" spans="1:25" ht="13.5" customHeight="1">
      <c r="A217" s="3"/>
      <c r="B217" s="3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</row>
    <row r="218" spans="1:25" ht="13.5" customHeight="1">
      <c r="A218" s="3"/>
      <c r="B218" s="3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</row>
    <row r="219" spans="1:25" ht="13.5" customHeight="1">
      <c r="A219" s="3"/>
      <c r="B219" s="3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</row>
    <row r="220" spans="1:25" ht="13.5" customHeight="1">
      <c r="A220" s="3"/>
      <c r="B220" s="3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</row>
    <row r="221" spans="1:25" ht="13.5" customHeight="1">
      <c r="A221" s="3"/>
      <c r="B221" s="3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</row>
    <row r="222" spans="1:25" ht="13.5" customHeight="1">
      <c r="A222" s="3"/>
      <c r="B222" s="3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</row>
    <row r="223" spans="1:25" ht="13.5" customHeight="1">
      <c r="A223" s="3"/>
      <c r="B223" s="3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</row>
    <row r="224" spans="1:25" ht="13.5" customHeight="1">
      <c r="A224" s="3"/>
      <c r="B224" s="3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</row>
    <row r="225" spans="1:25" ht="13.5" customHeight="1">
      <c r="A225" s="3"/>
      <c r="B225" s="3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</row>
    <row r="226" spans="1:25" ht="15.75" customHeight="1"/>
    <row r="227" spans="1:25" ht="15.75" customHeight="1"/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J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Y100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4.453125" defaultRowHeight="15" customHeight="1"/>
  <cols>
    <col min="1" max="1" width="3.26953125" customWidth="1"/>
    <col min="2" max="2" width="2.08984375" customWidth="1"/>
    <col min="3" max="3" width="3.54296875" customWidth="1"/>
    <col min="4" max="4" width="42.453125" customWidth="1"/>
    <col min="5" max="5" width="5" customWidth="1"/>
    <col min="6" max="6" width="18.08984375" customWidth="1"/>
    <col min="7" max="7" width="17.54296875" customWidth="1"/>
    <col min="8" max="10" width="18.08984375" customWidth="1"/>
    <col min="11" max="13" width="9.08984375" customWidth="1"/>
    <col min="14" max="19" width="10.54296875" customWidth="1"/>
    <col min="20" max="25" width="14.54296875" customWidth="1"/>
  </cols>
  <sheetData>
    <row r="1" spans="1:25" ht="3" customHeight="1">
      <c r="A1" s="1"/>
      <c r="B1" s="2"/>
      <c r="C1" s="50"/>
      <c r="D1" s="50"/>
      <c r="E1" s="50"/>
      <c r="F1" s="89"/>
      <c r="G1" s="89"/>
      <c r="H1" s="89"/>
      <c r="I1" s="89"/>
      <c r="J1" s="89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7.25" customHeight="1">
      <c r="A2" s="1"/>
      <c r="B2" s="2"/>
      <c r="C2" s="340" t="s">
        <v>271</v>
      </c>
      <c r="D2" s="341"/>
      <c r="E2" s="341"/>
      <c r="F2" s="233"/>
      <c r="G2" s="233"/>
      <c r="H2" s="233"/>
      <c r="I2" s="233"/>
      <c r="J2" s="233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7.25" customHeight="1">
      <c r="A3" s="1"/>
      <c r="B3" s="2"/>
      <c r="C3" s="341"/>
      <c r="D3" s="341"/>
      <c r="E3" s="341"/>
      <c r="F3" s="89"/>
      <c r="G3" s="89"/>
      <c r="H3" s="89"/>
      <c r="I3" s="89"/>
      <c r="J3" s="8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7.25" customHeight="1">
      <c r="A4" s="1"/>
      <c r="B4" s="2"/>
      <c r="C4" s="341"/>
      <c r="D4" s="341"/>
      <c r="E4" s="341"/>
      <c r="F4" s="234"/>
      <c r="G4" s="234"/>
      <c r="H4" s="234"/>
      <c r="I4" s="234"/>
      <c r="J4" s="23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7.25" customHeight="1">
      <c r="A5" s="1"/>
      <c r="B5" s="2"/>
      <c r="C5" s="235" t="s">
        <v>272</v>
      </c>
      <c r="D5" s="90" t="s">
        <v>0</v>
      </c>
      <c r="E5" s="236" t="s">
        <v>79</v>
      </c>
      <c r="F5" s="237">
        <f>Hypotheses!G5</f>
        <v>2021</v>
      </c>
      <c r="G5" s="238">
        <f>Hypotheses!H5</f>
        <v>2022</v>
      </c>
      <c r="H5" s="238">
        <f>Hypotheses!I5</f>
        <v>2023</v>
      </c>
      <c r="I5" s="238">
        <f>Hypotheses!J5</f>
        <v>2024</v>
      </c>
      <c r="J5" s="238">
        <f>Hypotheses!K5</f>
        <v>2025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7.25" customHeight="1">
      <c r="A6" s="1"/>
      <c r="B6" s="2"/>
      <c r="C6" s="50"/>
      <c r="D6" s="50"/>
      <c r="E6" s="50"/>
      <c r="F6" s="239"/>
      <c r="G6" s="239"/>
      <c r="H6" s="239"/>
      <c r="I6" s="239"/>
      <c r="J6" s="23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25" customHeight="1">
      <c r="A7" s="1"/>
      <c r="B7" s="2"/>
      <c r="C7" s="81" t="s">
        <v>273</v>
      </c>
      <c r="D7" s="82"/>
      <c r="E7" s="83"/>
      <c r="F7" s="110"/>
      <c r="G7" s="110"/>
      <c r="H7" s="110"/>
      <c r="I7" s="110"/>
      <c r="J7" s="1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7.25" customHeight="1">
      <c r="A8" s="1"/>
      <c r="B8" s="2"/>
      <c r="C8" s="240"/>
      <c r="D8" s="241" t="s">
        <v>274</v>
      </c>
      <c r="E8" s="242" t="str">
        <f>Hypotheses!$E$13</f>
        <v>XOF</v>
      </c>
      <c r="F8" s="243">
        <f>OPEX!F56</f>
        <v>9699725.3334201183</v>
      </c>
      <c r="G8" s="243">
        <f>OPEX!G56</f>
        <v>14333501.89130686</v>
      </c>
      <c r="H8" s="243">
        <f>OPEX!H56</f>
        <v>19527965.312646843</v>
      </c>
      <c r="I8" s="243">
        <f>OPEX!I56</f>
        <v>25350780.927267108</v>
      </c>
      <c r="J8" s="243">
        <f>OPEX!J56</f>
        <v>31935492.091809191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7.25" customHeight="1">
      <c r="A9" s="1"/>
      <c r="B9" s="2"/>
      <c r="C9" s="240"/>
      <c r="D9" s="241" t="s">
        <v>275</v>
      </c>
      <c r="E9" s="242" t="str">
        <f>Hypotheses!$E$13</f>
        <v>XOF</v>
      </c>
      <c r="F9" s="243">
        <f>OPEX!G49</f>
        <v>4230000</v>
      </c>
      <c r="G9" s="243">
        <f>OPEX!H49</f>
        <v>4230000</v>
      </c>
      <c r="H9" s="243">
        <f>OPEX!I49</f>
        <v>4230000</v>
      </c>
      <c r="I9" s="243">
        <f>OPEX!J49</f>
        <v>4230000</v>
      </c>
      <c r="J9" s="243">
        <f>OPEX!K49</f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7.25" customHeight="1">
      <c r="A10" s="1"/>
      <c r="B10" s="2"/>
      <c r="C10" s="244"/>
      <c r="D10" s="245" t="s">
        <v>276</v>
      </c>
      <c r="E10" s="245" t="str">
        <f>Hypotheses!$E$13</f>
        <v>XOF</v>
      </c>
      <c r="F10" s="246">
        <f t="shared" ref="F10:J10" si="0">SUM(F8:F9)</f>
        <v>13929725.333420118</v>
      </c>
      <c r="G10" s="246">
        <f t="shared" si="0"/>
        <v>18563501.891306862</v>
      </c>
      <c r="H10" s="246">
        <f t="shared" si="0"/>
        <v>23757965.312646843</v>
      </c>
      <c r="I10" s="246">
        <f t="shared" si="0"/>
        <v>29580780.927267108</v>
      </c>
      <c r="J10" s="246">
        <f t="shared" si="0"/>
        <v>31935492.091809191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7.25" customHeight="1">
      <c r="A11" s="1"/>
      <c r="B11" s="2"/>
      <c r="C11" s="240"/>
      <c r="D11" s="241" t="s">
        <v>277</v>
      </c>
      <c r="E11" s="242" t="str">
        <f>Hypotheses!$E$13</f>
        <v>XOF</v>
      </c>
      <c r="F11" s="243">
        <f>Amort_Immobilisation!D61</f>
        <v>0</v>
      </c>
      <c r="G11" s="243">
        <v>0</v>
      </c>
      <c r="H11" s="243">
        <v>0</v>
      </c>
      <c r="I11" s="243">
        <v>0</v>
      </c>
      <c r="J11" s="243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7.25" customHeight="1">
      <c r="A12" s="1"/>
      <c r="B12" s="2"/>
      <c r="C12" s="61"/>
      <c r="D12" s="241" t="s">
        <v>265</v>
      </c>
      <c r="E12" s="242" t="str">
        <f>Hypotheses!$E$13</f>
        <v>XOF</v>
      </c>
      <c r="F12" s="243">
        <f>'TA _Invest'!B2+'TA _Exploitation'!B2</f>
        <v>39300000</v>
      </c>
      <c r="G12" s="243">
        <v>0</v>
      </c>
      <c r="H12" s="243">
        <v>0</v>
      </c>
      <c r="I12" s="243">
        <v>0</v>
      </c>
      <c r="J12" s="243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7.25" customHeight="1">
      <c r="A13" s="1"/>
      <c r="B13" s="2"/>
      <c r="C13" s="240"/>
      <c r="D13" s="241" t="s">
        <v>278</v>
      </c>
      <c r="E13" s="242" t="str">
        <f>Hypotheses!$E$13</f>
        <v>XOF</v>
      </c>
      <c r="F13" s="247"/>
      <c r="G13" s="247"/>
      <c r="H13" s="247"/>
      <c r="I13" s="247"/>
      <c r="J13" s="24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7.25" customHeight="1">
      <c r="A14" s="1"/>
      <c r="B14" s="2"/>
      <c r="C14" s="61"/>
      <c r="D14" s="249" t="s">
        <v>279</v>
      </c>
      <c r="E14" s="250" t="str">
        <f>Hypotheses!$E$13</f>
        <v>XOF</v>
      </c>
      <c r="F14" s="251">
        <f t="shared" ref="F14:J14" si="1">SUM(F10:F13)</f>
        <v>53229725.33342012</v>
      </c>
      <c r="G14" s="251">
        <f t="shared" si="1"/>
        <v>18563501.891306862</v>
      </c>
      <c r="H14" s="251">
        <f t="shared" si="1"/>
        <v>23757965.312646843</v>
      </c>
      <c r="I14" s="251">
        <f t="shared" si="1"/>
        <v>29580780.927267108</v>
      </c>
      <c r="J14" s="251">
        <f t="shared" si="1"/>
        <v>31935492.091809191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17.25" customHeight="1">
      <c r="A15" s="1"/>
      <c r="B15" s="2"/>
      <c r="C15" s="61"/>
      <c r="D15" s="61"/>
      <c r="E15" s="252"/>
      <c r="F15" s="253"/>
      <c r="G15" s="253"/>
      <c r="H15" s="253"/>
      <c r="I15" s="253"/>
      <c r="J15" s="253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7.25" customHeight="1">
      <c r="A16" s="1"/>
      <c r="B16" s="2"/>
      <c r="C16" s="81" t="s">
        <v>280</v>
      </c>
      <c r="D16" s="82"/>
      <c r="E16" s="83"/>
      <c r="F16" s="110"/>
      <c r="G16" s="110"/>
      <c r="H16" s="110"/>
      <c r="I16" s="110"/>
      <c r="J16" s="1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7.25" customHeight="1">
      <c r="A17" s="1"/>
      <c r="B17" s="2"/>
      <c r="C17" s="61"/>
      <c r="D17" s="240" t="s">
        <v>267</v>
      </c>
      <c r="E17" s="241" t="str">
        <f>Hypotheses!$E$13</f>
        <v>XOF</v>
      </c>
      <c r="F17" s="243">
        <f>F12+F11</f>
        <v>39300000</v>
      </c>
      <c r="G17" s="247"/>
      <c r="H17" s="247"/>
      <c r="I17" s="247"/>
      <c r="J17" s="247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17.25" customHeight="1">
      <c r="A18" s="1"/>
      <c r="B18" s="2"/>
      <c r="C18" s="61"/>
      <c r="D18" s="240" t="s">
        <v>281</v>
      </c>
      <c r="E18" s="241" t="str">
        <f>Hypotheses!$E$13</f>
        <v>XOF</v>
      </c>
      <c r="F18" s="243">
        <f>'Plan tréso'!F23</f>
        <v>10740681.442235015</v>
      </c>
      <c r="G18" s="243">
        <f>'Plan tréso'!G23</f>
        <v>10740681.442235017</v>
      </c>
      <c r="H18" s="243">
        <f>'Plan tréso'!H23</f>
        <v>9627323.1167529505</v>
      </c>
      <c r="I18" s="243">
        <f>'Plan tréso'!I23</f>
        <v>9627323.1167529523</v>
      </c>
      <c r="J18" s="243">
        <f>'Plan tréso'!J23</f>
        <v>9627323.1167529505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7.25" customHeight="1">
      <c r="A19" s="1"/>
      <c r="B19" s="2"/>
      <c r="C19" s="61"/>
      <c r="D19" s="61" t="s">
        <v>282</v>
      </c>
      <c r="E19" s="241" t="str">
        <f>Hypotheses!$E$13</f>
        <v>XOF</v>
      </c>
      <c r="F19" s="247"/>
      <c r="G19" s="247"/>
      <c r="H19" s="247"/>
      <c r="I19" s="247"/>
      <c r="J19" s="247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17.25" customHeight="1">
      <c r="A20" s="1"/>
      <c r="B20" s="2"/>
      <c r="C20" s="61"/>
      <c r="D20" s="249" t="s">
        <v>283</v>
      </c>
      <c r="E20" s="250" t="str">
        <f>Hypotheses!$E$13</f>
        <v>XOF</v>
      </c>
      <c r="F20" s="251">
        <f t="shared" ref="F20:J20" si="2">SUM(F17:F19)</f>
        <v>50040681.442235015</v>
      </c>
      <c r="G20" s="251">
        <f t="shared" si="2"/>
        <v>10740681.442235017</v>
      </c>
      <c r="H20" s="251">
        <f t="shared" si="2"/>
        <v>9627323.1167529505</v>
      </c>
      <c r="I20" s="251">
        <f t="shared" si="2"/>
        <v>9627323.1167529523</v>
      </c>
      <c r="J20" s="251">
        <f t="shared" si="2"/>
        <v>9627323.1167529505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7.25" customHeight="1">
      <c r="A21" s="1"/>
      <c r="B21" s="2"/>
      <c r="C21" s="61"/>
      <c r="D21" s="61"/>
      <c r="E21" s="252"/>
      <c r="F21" s="253"/>
      <c r="G21" s="253"/>
      <c r="H21" s="253"/>
      <c r="I21" s="253"/>
      <c r="J21" s="253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7.25" customHeight="1">
      <c r="A22" s="1"/>
      <c r="B22" s="2"/>
      <c r="C22" s="254" t="s">
        <v>284</v>
      </c>
      <c r="D22" s="254"/>
      <c r="E22" s="255" t="str">
        <f>Hypotheses!$E$13</f>
        <v>XOF</v>
      </c>
      <c r="F22" s="256">
        <f t="shared" ref="F22:J22" si="3">F14-F20</f>
        <v>3189043.8911851048</v>
      </c>
      <c r="G22" s="256">
        <f t="shared" si="3"/>
        <v>7822820.449071845</v>
      </c>
      <c r="H22" s="256">
        <f t="shared" si="3"/>
        <v>14130642.195893893</v>
      </c>
      <c r="I22" s="256">
        <f t="shared" si="3"/>
        <v>19953457.810514156</v>
      </c>
      <c r="J22" s="256">
        <f t="shared" si="3"/>
        <v>22308168.975056238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7.25" customHeight="1">
      <c r="A23" s="1"/>
      <c r="B23" s="2"/>
      <c r="C23" s="254" t="s">
        <v>285</v>
      </c>
      <c r="D23" s="254"/>
      <c r="E23" s="255" t="str">
        <f>Hypotheses!$E$13</f>
        <v>XOF</v>
      </c>
      <c r="F23" s="257"/>
      <c r="G23" s="256">
        <f t="shared" ref="G23:J23" si="4">F24</f>
        <v>3189043.8911851048</v>
      </c>
      <c r="H23" s="256">
        <f t="shared" si="4"/>
        <v>11011864.34025695</v>
      </c>
      <c r="I23" s="256">
        <f t="shared" si="4"/>
        <v>25142506.536150843</v>
      </c>
      <c r="J23" s="256">
        <f t="shared" si="4"/>
        <v>45095964.346664995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17.25" customHeight="1">
      <c r="A24" s="1"/>
      <c r="B24" s="2"/>
      <c r="C24" s="258" t="s">
        <v>286</v>
      </c>
      <c r="D24" s="258"/>
      <c r="E24" s="259" t="str">
        <f>Hypotheses!$E$13</f>
        <v>XOF</v>
      </c>
      <c r="F24" s="260">
        <f t="shared" ref="F24:J24" si="5">F23+F22</f>
        <v>3189043.8911851048</v>
      </c>
      <c r="G24" s="260">
        <f t="shared" si="5"/>
        <v>11011864.34025695</v>
      </c>
      <c r="H24" s="260">
        <f t="shared" si="5"/>
        <v>25142506.536150843</v>
      </c>
      <c r="I24" s="260">
        <f t="shared" si="5"/>
        <v>45095964.346664995</v>
      </c>
      <c r="J24" s="260">
        <f t="shared" si="5"/>
        <v>67404133.321721226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7.25" customHeight="1">
      <c r="A25" s="1"/>
      <c r="B25" s="2"/>
      <c r="C25" s="50"/>
      <c r="D25" s="50"/>
      <c r="E25" s="50"/>
      <c r="F25" s="89"/>
      <c r="G25" s="89"/>
      <c r="H25" s="89"/>
      <c r="I25" s="89"/>
      <c r="J25" s="8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7.25" customHeight="1">
      <c r="A26" s="1"/>
      <c r="B26" s="2"/>
      <c r="C26" s="50"/>
      <c r="D26" s="50"/>
      <c r="E26" s="50"/>
      <c r="F26" s="89"/>
      <c r="G26" s="89"/>
      <c r="H26" s="89"/>
      <c r="I26" s="89"/>
      <c r="J26" s="8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7.25" customHeight="1">
      <c r="A27" s="1"/>
      <c r="B27" s="2"/>
      <c r="C27" s="50"/>
      <c r="D27" s="50"/>
      <c r="E27" s="50"/>
      <c r="F27" s="89"/>
      <c r="G27" s="89"/>
      <c r="H27" s="89"/>
      <c r="I27" s="89"/>
      <c r="J27" s="89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7.25" customHeight="1">
      <c r="A28" s="1"/>
      <c r="B28" s="2"/>
      <c r="C28" s="50"/>
      <c r="D28" s="261" t="s">
        <v>287</v>
      </c>
      <c r="E28" s="262"/>
      <c r="F28" s="263"/>
      <c r="G28" s="263"/>
      <c r="H28" s="263"/>
      <c r="I28" s="263"/>
      <c r="J28" s="263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7.25" customHeight="1">
      <c r="A29" s="1"/>
      <c r="B29" s="2"/>
      <c r="C29" s="50"/>
      <c r="D29" s="75"/>
      <c r="E29" s="264"/>
      <c r="F29" s="265"/>
      <c r="G29" s="265"/>
      <c r="I29" s="89"/>
      <c r="J29" s="8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17.25" customHeight="1">
      <c r="A30" s="1"/>
      <c r="B30" s="2"/>
      <c r="C30" s="50"/>
      <c r="D30" s="75" t="s">
        <v>288</v>
      </c>
      <c r="E30" s="266" t="s">
        <v>138</v>
      </c>
      <c r="F30" s="267">
        <f>OPEX!F23*Delais_clients/jours_an</f>
        <v>6450000</v>
      </c>
      <c r="G30" s="267">
        <f>OPEX!G23*Delais_clients/jours_an</f>
        <v>7081500</v>
      </c>
      <c r="H30" s="267">
        <f>OPEX!H23*Delais_clients/jours_an</f>
        <v>7789245</v>
      </c>
      <c r="I30" s="267">
        <f>OPEX!I23*Delais_clients/jours_an</f>
        <v>8583277.3499999996</v>
      </c>
      <c r="J30" s="267">
        <f>OPEX!J23*Delais_clients/jours_an</f>
        <v>9475019.9205000009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17.25" customHeight="1">
      <c r="A31" s="1"/>
      <c r="B31" s="2"/>
      <c r="C31" s="50"/>
      <c r="D31" s="75" t="s">
        <v>289</v>
      </c>
      <c r="E31" s="266" t="s">
        <v>138</v>
      </c>
      <c r="F31" s="267">
        <f>+OPEX!F26*Delais_Stocks/jours_an</f>
        <v>55824.657534246573</v>
      </c>
      <c r="G31" s="267">
        <f>+OPEX!G26*Delais_Stocks/jours_an</f>
        <v>56002.191780821915</v>
      </c>
      <c r="H31" s="267">
        <f>+OPEX!H26*Delais_Stocks/jours_an</f>
        <v>56185.05205479452</v>
      </c>
      <c r="I31" s="267">
        <f>+OPEX!I26*Delais_Stocks/jours_an</f>
        <v>56373.398136986303</v>
      </c>
      <c r="J31" s="267">
        <f>+OPEX!J26*Delais_Stocks/jours_an</f>
        <v>56567.394601643828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17.25" customHeight="1">
      <c r="A32" s="1"/>
      <c r="B32" s="2"/>
      <c r="C32" s="50"/>
      <c r="D32" s="75" t="s">
        <v>116</v>
      </c>
      <c r="E32" s="266" t="s">
        <v>138</v>
      </c>
      <c r="F32" s="267">
        <f>+(OPEX!F26+OPEX!F33+OPEX!F43+OPEX!F44+OPEX!F45+OPEX!F46+OPEX!F47)*Delais_Frs/jours_an</f>
        <v>2485446.5753424657</v>
      </c>
      <c r="G32" s="267">
        <f>+(OPEX!G26+OPEX!G33+OPEX!G43+OPEX!G44+OPEX!G45+OPEX!G46+OPEX!G47)*Delais_Frs/jours_an</f>
        <v>2527206.5753424657</v>
      </c>
      <c r="H32" s="267">
        <f>+(OPEX!H26+OPEX!H33+OPEX!H43+OPEX!H44+OPEX!H45+OPEX!H46+OPEX!H47)*Delais_Frs/jours_an</f>
        <v>2569775.5397260273</v>
      </c>
      <c r="I32" s="267">
        <f>+(OPEX!I26+OPEX!I33+OPEX!I43+OPEX!I44+OPEX!I45+OPEX!I46+OPEX!I47)*Delais_Frs/jours_an</f>
        <v>2613170.8333150684</v>
      </c>
      <c r="J32" s="267">
        <f>+(OPEX!J26+OPEX!J33+OPEX!J43+OPEX!J44+OPEX!J45+OPEX!J46+OPEX!J47)*Delais_Frs/jours_an</f>
        <v>2657410.2235199995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17.25" customHeight="1">
      <c r="A33" s="1"/>
      <c r="B33" s="2"/>
      <c r="C33" s="50"/>
      <c r="D33" s="75" t="s">
        <v>290</v>
      </c>
      <c r="E33" s="266" t="s">
        <v>138</v>
      </c>
      <c r="F33" s="267">
        <f t="shared" ref="F33:J33" si="6">SUM(F30:F31)-F32</f>
        <v>4020378.0821917807</v>
      </c>
      <c r="G33" s="267">
        <f t="shared" si="6"/>
        <v>4610295.6164383572</v>
      </c>
      <c r="H33" s="267">
        <f t="shared" si="6"/>
        <v>5275654.5123287672</v>
      </c>
      <c r="I33" s="267">
        <f t="shared" si="6"/>
        <v>6026479.9148219172</v>
      </c>
      <c r="J33" s="267">
        <f t="shared" si="6"/>
        <v>6874177.0915816445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17.25" customHeight="1">
      <c r="A34" s="1"/>
      <c r="B34" s="2"/>
      <c r="C34" s="50"/>
      <c r="D34" s="268" t="s">
        <v>291</v>
      </c>
      <c r="E34" s="269"/>
      <c r="F34" s="270">
        <f>F33-E34</f>
        <v>4020378.0821917807</v>
      </c>
      <c r="G34" s="270">
        <f t="shared" ref="G34:J34" si="7">G33-F33</f>
        <v>589917.53424657648</v>
      </c>
      <c r="H34" s="270">
        <f t="shared" si="7"/>
        <v>665358.89589041006</v>
      </c>
      <c r="I34" s="270">
        <f t="shared" si="7"/>
        <v>750825.40249314997</v>
      </c>
      <c r="J34" s="270">
        <f t="shared" si="7"/>
        <v>847697.1767597273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7.25" customHeight="1">
      <c r="A35" s="1"/>
      <c r="B35" s="2"/>
      <c r="C35" s="50"/>
      <c r="D35" s="50"/>
      <c r="E35" s="50"/>
      <c r="F35" s="89"/>
      <c r="G35" s="89"/>
      <c r="H35" s="89"/>
      <c r="I35" s="89"/>
      <c r="J35" s="89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17.25" customHeight="1">
      <c r="A36" s="1"/>
      <c r="B36" s="2"/>
      <c r="C36" s="50"/>
      <c r="D36" s="50"/>
      <c r="E36" s="50"/>
      <c r="F36" s="89"/>
      <c r="G36" s="89"/>
      <c r="H36" s="89"/>
      <c r="I36" s="89"/>
      <c r="J36" s="89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7.25" customHeight="1">
      <c r="A37" s="1"/>
      <c r="B37" s="2"/>
      <c r="C37" s="50"/>
      <c r="D37" s="50"/>
      <c r="E37" s="50"/>
      <c r="F37" s="89"/>
      <c r="G37" s="89"/>
      <c r="H37" s="89"/>
      <c r="I37" s="89"/>
      <c r="J37" s="8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17.25" customHeight="1">
      <c r="A38" s="44"/>
      <c r="B38" s="45"/>
      <c r="C38" s="50"/>
      <c r="D38" s="50"/>
      <c r="E38" s="50"/>
      <c r="F38" s="89"/>
      <c r="G38" s="89"/>
      <c r="H38" s="89"/>
      <c r="I38" s="89"/>
      <c r="J38" s="8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7.25" customHeight="1">
      <c r="A39" s="44"/>
      <c r="B39" s="45"/>
      <c r="C39" s="50"/>
      <c r="D39" s="50"/>
      <c r="E39" s="50"/>
      <c r="F39" s="89"/>
      <c r="G39" s="89"/>
      <c r="H39" s="89"/>
      <c r="I39" s="89"/>
      <c r="J39" s="8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17.25" customHeight="1">
      <c r="A40" s="44"/>
      <c r="B40" s="45"/>
      <c r="C40" s="50"/>
      <c r="D40" s="50"/>
      <c r="E40" s="50"/>
      <c r="F40" s="89"/>
      <c r="G40" s="89"/>
      <c r="H40" s="89"/>
      <c r="I40" s="89"/>
      <c r="J40" s="89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7.25" customHeight="1">
      <c r="A41" s="44"/>
      <c r="B41" s="45"/>
      <c r="C41" s="50"/>
      <c r="D41" s="50"/>
      <c r="E41" s="50"/>
      <c r="F41" s="89"/>
      <c r="G41" s="89"/>
      <c r="H41" s="89"/>
      <c r="I41" s="89"/>
      <c r="J41" s="8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17.25" customHeight="1">
      <c r="A42" s="44"/>
      <c r="B42" s="45"/>
      <c r="C42" s="50"/>
      <c r="D42" s="50"/>
      <c r="E42" s="50"/>
      <c r="F42" s="89"/>
      <c r="G42" s="89"/>
      <c r="H42" s="89"/>
      <c r="I42" s="89"/>
      <c r="J42" s="8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7.25" customHeight="1">
      <c r="A43" s="44"/>
      <c r="B43" s="45"/>
      <c r="C43" s="50"/>
      <c r="D43" s="50"/>
      <c r="E43" s="50"/>
      <c r="F43" s="89"/>
      <c r="G43" s="89"/>
      <c r="H43" s="89"/>
      <c r="I43" s="89"/>
      <c r="J43" s="8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7.25" customHeight="1">
      <c r="A44" s="44"/>
      <c r="B44" s="45"/>
      <c r="C44" s="50"/>
      <c r="D44" s="50"/>
      <c r="E44" s="50"/>
      <c r="F44" s="89"/>
      <c r="G44" s="89"/>
      <c r="H44" s="89"/>
      <c r="I44" s="89"/>
      <c r="J44" s="89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7.25" customHeight="1">
      <c r="A45" s="44"/>
      <c r="B45" s="45"/>
      <c r="C45" s="50"/>
      <c r="D45" s="50"/>
      <c r="E45" s="50"/>
      <c r="F45" s="89"/>
      <c r="G45" s="89"/>
      <c r="H45" s="89"/>
      <c r="I45" s="89"/>
      <c r="J45" s="8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7.25" customHeight="1">
      <c r="A46" s="44"/>
      <c r="B46" s="45"/>
      <c r="C46" s="50"/>
      <c r="D46" s="50"/>
      <c r="E46" s="50"/>
      <c r="F46" s="89"/>
      <c r="G46" s="89"/>
      <c r="H46" s="89"/>
      <c r="I46" s="89"/>
      <c r="J46" s="89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7.25" customHeight="1">
      <c r="A47" s="44"/>
      <c r="B47" s="45"/>
      <c r="C47" s="50"/>
      <c r="D47" s="50"/>
      <c r="E47" s="50"/>
      <c r="F47" s="89"/>
      <c r="G47" s="89"/>
      <c r="H47" s="89"/>
      <c r="I47" s="89"/>
      <c r="J47" s="8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17.25" customHeight="1">
      <c r="A48" s="44"/>
      <c r="B48" s="45"/>
      <c r="C48" s="50"/>
      <c r="D48" s="50"/>
      <c r="E48" s="50"/>
      <c r="F48" s="89"/>
      <c r="G48" s="89"/>
      <c r="H48" s="89"/>
      <c r="I48" s="89"/>
      <c r="J48" s="89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17.25" customHeight="1">
      <c r="A49" s="44"/>
      <c r="B49" s="45"/>
      <c r="C49" s="50"/>
      <c r="D49" s="50"/>
      <c r="E49" s="50"/>
      <c r="F49" s="89"/>
      <c r="G49" s="89"/>
      <c r="H49" s="89"/>
      <c r="I49" s="89"/>
      <c r="J49" s="8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7.25" customHeight="1">
      <c r="A50" s="44"/>
      <c r="B50" s="45"/>
      <c r="C50" s="50"/>
      <c r="D50" s="50"/>
      <c r="E50" s="50"/>
      <c r="F50" s="89"/>
      <c r="G50" s="89"/>
      <c r="H50" s="89"/>
      <c r="I50" s="89"/>
      <c r="J50" s="8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17.25" customHeight="1">
      <c r="A51" s="44"/>
      <c r="B51" s="45"/>
      <c r="C51" s="50"/>
      <c r="D51" s="50"/>
      <c r="E51" s="50"/>
      <c r="F51" s="89"/>
      <c r="G51" s="89"/>
      <c r="H51" s="89"/>
      <c r="I51" s="89"/>
      <c r="J51" s="8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7.25" customHeight="1">
      <c r="A52" s="44"/>
      <c r="B52" s="45"/>
      <c r="C52" s="50"/>
      <c r="D52" s="50"/>
      <c r="E52" s="50"/>
      <c r="F52" s="89"/>
      <c r="G52" s="89"/>
      <c r="H52" s="89"/>
      <c r="I52" s="89"/>
      <c r="J52" s="8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7.25" customHeight="1">
      <c r="A53" s="44"/>
      <c r="B53" s="45"/>
      <c r="C53" s="50"/>
      <c r="D53" s="50"/>
      <c r="E53" s="50"/>
      <c r="F53" s="89"/>
      <c r="G53" s="89"/>
      <c r="H53" s="89"/>
      <c r="I53" s="89"/>
      <c r="J53" s="89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7.25" customHeight="1">
      <c r="A54" s="44"/>
      <c r="B54" s="45"/>
      <c r="C54" s="50"/>
      <c r="D54" s="50"/>
      <c r="E54" s="50"/>
      <c r="F54" s="89"/>
      <c r="G54" s="89"/>
      <c r="H54" s="89"/>
      <c r="I54" s="89"/>
      <c r="J54" s="8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7.25" customHeight="1">
      <c r="A55" s="44"/>
      <c r="B55" s="45"/>
      <c r="C55" s="50"/>
      <c r="D55" s="50"/>
      <c r="E55" s="50"/>
      <c r="F55" s="89"/>
      <c r="G55" s="89"/>
      <c r="H55" s="89"/>
      <c r="I55" s="89"/>
      <c r="J55" s="8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17.25" customHeight="1">
      <c r="A56" s="44"/>
      <c r="B56" s="45"/>
      <c r="C56" s="50"/>
      <c r="D56" s="50"/>
      <c r="E56" s="50"/>
      <c r="F56" s="89"/>
      <c r="G56" s="89"/>
      <c r="H56" s="89"/>
      <c r="I56" s="89"/>
      <c r="J56" s="8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7.25" customHeight="1">
      <c r="A57" s="44"/>
      <c r="B57" s="45"/>
      <c r="C57" s="50"/>
      <c r="D57" s="50"/>
      <c r="E57" s="50"/>
      <c r="F57" s="89"/>
      <c r="G57" s="89"/>
      <c r="H57" s="89"/>
      <c r="I57" s="89"/>
      <c r="J57" s="8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7.25" customHeight="1">
      <c r="A58" s="44"/>
      <c r="B58" s="45"/>
      <c r="C58" s="50"/>
      <c r="D58" s="50"/>
      <c r="E58" s="50"/>
      <c r="F58" s="89"/>
      <c r="G58" s="89"/>
      <c r="H58" s="89"/>
      <c r="I58" s="89"/>
      <c r="J58" s="8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7.25" customHeight="1">
      <c r="A59" s="44"/>
      <c r="B59" s="45"/>
      <c r="C59" s="50"/>
      <c r="D59" s="50"/>
      <c r="E59" s="50"/>
      <c r="F59" s="89"/>
      <c r="G59" s="89"/>
      <c r="H59" s="89"/>
      <c r="I59" s="89"/>
      <c r="J59" s="8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7.25" customHeight="1">
      <c r="A60" s="44"/>
      <c r="B60" s="45"/>
      <c r="C60" s="50"/>
      <c r="D60" s="50"/>
      <c r="E60" s="50"/>
      <c r="F60" s="89"/>
      <c r="G60" s="89"/>
      <c r="H60" s="89"/>
      <c r="I60" s="89"/>
      <c r="J60" s="8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7.25" customHeight="1">
      <c r="A61" s="44"/>
      <c r="B61" s="45"/>
      <c r="C61" s="50"/>
      <c r="D61" s="50"/>
      <c r="E61" s="50"/>
      <c r="F61" s="89"/>
      <c r="G61" s="89"/>
      <c r="H61" s="89"/>
      <c r="I61" s="89"/>
      <c r="J61" s="8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17.25" customHeight="1">
      <c r="A62" s="44"/>
      <c r="B62" s="45"/>
      <c r="C62" s="50"/>
      <c r="D62" s="50"/>
      <c r="E62" s="50"/>
      <c r="F62" s="89"/>
      <c r="G62" s="89"/>
      <c r="H62" s="89"/>
      <c r="I62" s="89"/>
      <c r="J62" s="8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7.25" customHeight="1">
      <c r="A63" s="44"/>
      <c r="B63" s="45"/>
      <c r="C63" s="50"/>
      <c r="D63" s="50"/>
      <c r="E63" s="50"/>
      <c r="F63" s="89"/>
      <c r="G63" s="89"/>
      <c r="H63" s="89"/>
      <c r="I63" s="89"/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17.25" customHeight="1">
      <c r="A64" s="44"/>
      <c r="B64" s="45"/>
      <c r="C64" s="50"/>
      <c r="D64" s="50"/>
      <c r="E64" s="50"/>
      <c r="F64" s="89"/>
      <c r="G64" s="89"/>
      <c r="H64" s="89"/>
      <c r="I64" s="89"/>
      <c r="J64" s="8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7.25" customHeight="1">
      <c r="A65" s="44"/>
      <c r="B65" s="45"/>
      <c r="C65" s="50"/>
      <c r="D65" s="50"/>
      <c r="E65" s="50"/>
      <c r="F65" s="89"/>
      <c r="G65" s="89"/>
      <c r="H65" s="89"/>
      <c r="I65" s="89"/>
      <c r="J65" s="8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7.25" customHeight="1">
      <c r="A66" s="44"/>
      <c r="B66" s="45"/>
      <c r="C66" s="50"/>
      <c r="D66" s="50"/>
      <c r="E66" s="50"/>
      <c r="F66" s="89"/>
      <c r="G66" s="89"/>
      <c r="H66" s="89"/>
      <c r="I66" s="89"/>
      <c r="J66" s="8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7.25" customHeight="1">
      <c r="A67" s="44"/>
      <c r="B67" s="45"/>
      <c r="C67" s="50"/>
      <c r="D67" s="50"/>
      <c r="E67" s="50"/>
      <c r="F67" s="89"/>
      <c r="G67" s="89"/>
      <c r="H67" s="89"/>
      <c r="I67" s="89"/>
      <c r="J67" s="8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7.25" customHeight="1">
      <c r="A68" s="44"/>
      <c r="B68" s="45"/>
      <c r="C68" s="50"/>
      <c r="D68" s="50"/>
      <c r="E68" s="50"/>
      <c r="F68" s="89"/>
      <c r="G68" s="89"/>
      <c r="H68" s="89"/>
      <c r="I68" s="89"/>
      <c r="J68" s="8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7.25" customHeight="1">
      <c r="A69" s="44"/>
      <c r="B69" s="45"/>
      <c r="C69" s="50"/>
      <c r="D69" s="50"/>
      <c r="E69" s="50"/>
      <c r="F69" s="89"/>
      <c r="G69" s="89"/>
      <c r="H69" s="89"/>
      <c r="I69" s="89"/>
      <c r="J69" s="8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7.25" customHeight="1">
      <c r="A70" s="44"/>
      <c r="B70" s="45"/>
      <c r="C70" s="50"/>
      <c r="D70" s="50"/>
      <c r="E70" s="50"/>
      <c r="F70" s="89"/>
      <c r="G70" s="89"/>
      <c r="H70" s="89"/>
      <c r="I70" s="89"/>
      <c r="J70" s="8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ht="17.25" customHeight="1">
      <c r="A71" s="44"/>
      <c r="B71" s="45"/>
      <c r="C71" s="50"/>
      <c r="D71" s="50"/>
      <c r="E71" s="50"/>
      <c r="F71" s="89"/>
      <c r="G71" s="89"/>
      <c r="H71" s="89"/>
      <c r="I71" s="89"/>
      <c r="J71" s="8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7.25" customHeight="1">
      <c r="A72" s="44"/>
      <c r="B72" s="45"/>
      <c r="C72" s="50"/>
      <c r="D72" s="50"/>
      <c r="E72" s="50"/>
      <c r="F72" s="89"/>
      <c r="G72" s="89"/>
      <c r="H72" s="89"/>
      <c r="I72" s="89"/>
      <c r="J72" s="8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17.25" customHeight="1">
      <c r="A73" s="44"/>
      <c r="B73" s="45"/>
      <c r="C73" s="50"/>
      <c r="D73" s="50"/>
      <c r="E73" s="50"/>
      <c r="F73" s="89"/>
      <c r="G73" s="89"/>
      <c r="H73" s="89"/>
      <c r="I73" s="89"/>
      <c r="J73" s="8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ht="17.25" customHeight="1">
      <c r="A74" s="44"/>
      <c r="B74" s="45"/>
      <c r="C74" s="50"/>
      <c r="D74" s="50"/>
      <c r="E74" s="50"/>
      <c r="F74" s="89"/>
      <c r="G74" s="89"/>
      <c r="H74" s="89"/>
      <c r="I74" s="89"/>
      <c r="J74" s="8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17.25" customHeight="1">
      <c r="A75" s="44"/>
      <c r="B75" s="45"/>
      <c r="C75" s="50"/>
      <c r="D75" s="50"/>
      <c r="E75" s="50"/>
      <c r="F75" s="89"/>
      <c r="G75" s="89"/>
      <c r="H75" s="89"/>
      <c r="I75" s="89"/>
      <c r="J75" s="89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ht="17.25" customHeight="1">
      <c r="A76" s="44"/>
      <c r="B76" s="45"/>
      <c r="C76" s="50"/>
      <c r="D76" s="50"/>
      <c r="E76" s="50"/>
      <c r="F76" s="89"/>
      <c r="G76" s="89"/>
      <c r="H76" s="89"/>
      <c r="I76" s="89"/>
      <c r="J76" s="89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ht="17.25" customHeight="1">
      <c r="A77" s="44"/>
      <c r="B77" s="45"/>
      <c r="C77" s="50"/>
      <c r="D77" s="50"/>
      <c r="E77" s="50"/>
      <c r="F77" s="89"/>
      <c r="G77" s="89"/>
      <c r="H77" s="89"/>
      <c r="I77" s="89"/>
      <c r="J77" s="8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ht="17.25" customHeight="1">
      <c r="A78" s="44"/>
      <c r="B78" s="45"/>
      <c r="C78" s="50"/>
      <c r="D78" s="50"/>
      <c r="E78" s="50"/>
      <c r="F78" s="89"/>
      <c r="G78" s="89"/>
      <c r="H78" s="89"/>
      <c r="I78" s="89"/>
      <c r="J78" s="8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7.25" customHeight="1">
      <c r="A79" s="44"/>
      <c r="B79" s="45"/>
      <c r="C79" s="50"/>
      <c r="D79" s="50"/>
      <c r="E79" s="50"/>
      <c r="F79" s="89"/>
      <c r="G79" s="89"/>
      <c r="H79" s="89"/>
      <c r="I79" s="89"/>
      <c r="J79" s="8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7.25" customHeight="1">
      <c r="A80" s="44"/>
      <c r="B80" s="45"/>
      <c r="C80" s="50"/>
      <c r="D80" s="50"/>
      <c r="E80" s="50"/>
      <c r="F80" s="89"/>
      <c r="G80" s="89"/>
      <c r="H80" s="89"/>
      <c r="I80" s="89"/>
      <c r="J80" s="89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7.25" customHeight="1">
      <c r="A81" s="44"/>
      <c r="B81" s="45"/>
      <c r="C81" s="50"/>
      <c r="D81" s="50"/>
      <c r="E81" s="50"/>
      <c r="F81" s="89"/>
      <c r="G81" s="89"/>
      <c r="H81" s="89"/>
      <c r="I81" s="89"/>
      <c r="J81" s="89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7.25" customHeight="1">
      <c r="A82" s="44"/>
      <c r="B82" s="45"/>
      <c r="C82" s="50"/>
      <c r="D82" s="50"/>
      <c r="E82" s="50"/>
      <c r="F82" s="89"/>
      <c r="G82" s="89"/>
      <c r="H82" s="89"/>
      <c r="I82" s="89"/>
      <c r="J82" s="8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7.25" customHeight="1">
      <c r="A83" s="44"/>
      <c r="B83" s="45"/>
      <c r="C83" s="50"/>
      <c r="D83" s="50"/>
      <c r="E83" s="50"/>
      <c r="F83" s="89"/>
      <c r="G83" s="89"/>
      <c r="H83" s="89"/>
      <c r="I83" s="89"/>
      <c r="J83" s="8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7.25" customHeight="1">
      <c r="A84" s="44"/>
      <c r="B84" s="45"/>
      <c r="C84" s="50"/>
      <c r="D84" s="50"/>
      <c r="E84" s="50"/>
      <c r="F84" s="89"/>
      <c r="G84" s="89"/>
      <c r="H84" s="89"/>
      <c r="I84" s="89"/>
      <c r="J84" s="89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7.25" customHeight="1">
      <c r="A85" s="44"/>
      <c r="B85" s="45"/>
      <c r="C85" s="50"/>
      <c r="D85" s="50"/>
      <c r="E85" s="50"/>
      <c r="F85" s="89"/>
      <c r="G85" s="89"/>
      <c r="H85" s="89"/>
      <c r="I85" s="89"/>
      <c r="J85" s="8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ht="17.25" customHeight="1">
      <c r="A86" s="44"/>
      <c r="B86" s="45"/>
      <c r="C86" s="50"/>
      <c r="D86" s="50"/>
      <c r="E86" s="50"/>
      <c r="F86" s="89"/>
      <c r="G86" s="89"/>
      <c r="H86" s="89"/>
      <c r="I86" s="89"/>
      <c r="J86" s="89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ht="17.25" customHeight="1">
      <c r="A87" s="44"/>
      <c r="B87" s="45"/>
      <c r="C87" s="50"/>
      <c r="D87" s="50"/>
      <c r="E87" s="50"/>
      <c r="F87" s="89"/>
      <c r="G87" s="89"/>
      <c r="H87" s="89"/>
      <c r="I87" s="89"/>
      <c r="J87" s="89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ht="17.25" customHeight="1">
      <c r="A88" s="44"/>
      <c r="B88" s="45"/>
      <c r="C88" s="50"/>
      <c r="D88" s="50"/>
      <c r="E88" s="50"/>
      <c r="F88" s="89"/>
      <c r="G88" s="89"/>
      <c r="H88" s="89"/>
      <c r="I88" s="89"/>
      <c r="J88" s="89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ht="17.25" customHeight="1">
      <c r="A89" s="44"/>
      <c r="B89" s="45"/>
      <c r="C89" s="50"/>
      <c r="D89" s="50"/>
      <c r="E89" s="50"/>
      <c r="F89" s="89"/>
      <c r="G89" s="89"/>
      <c r="H89" s="89"/>
      <c r="I89" s="89"/>
      <c r="J89" s="89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7.25" customHeight="1">
      <c r="A90" s="44"/>
      <c r="B90" s="45"/>
      <c r="C90" s="50"/>
      <c r="D90" s="50"/>
      <c r="E90" s="50"/>
      <c r="F90" s="89"/>
      <c r="G90" s="89"/>
      <c r="H90" s="89"/>
      <c r="I90" s="89"/>
      <c r="J90" s="89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7.25" customHeight="1">
      <c r="A91" s="44"/>
      <c r="B91" s="45"/>
      <c r="C91" s="50"/>
      <c r="D91" s="50"/>
      <c r="E91" s="50"/>
      <c r="F91" s="89"/>
      <c r="G91" s="89"/>
      <c r="H91" s="89"/>
      <c r="I91" s="89"/>
      <c r="J91" s="89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7.25" customHeight="1">
      <c r="A92" s="44"/>
      <c r="B92" s="45"/>
      <c r="C92" s="50"/>
      <c r="D92" s="50"/>
      <c r="E92" s="50"/>
      <c r="F92" s="89"/>
      <c r="G92" s="89"/>
      <c r="H92" s="89"/>
      <c r="I92" s="89"/>
      <c r="J92" s="89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ht="17.25" customHeight="1">
      <c r="A93" s="44"/>
      <c r="B93" s="45"/>
      <c r="C93" s="50"/>
      <c r="D93" s="50"/>
      <c r="E93" s="50"/>
      <c r="F93" s="89"/>
      <c r="G93" s="89"/>
      <c r="H93" s="89"/>
      <c r="I93" s="89"/>
      <c r="J93" s="89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17.25" customHeight="1">
      <c r="A94" s="44"/>
      <c r="B94" s="45"/>
      <c r="C94" s="50"/>
      <c r="D94" s="50"/>
      <c r="E94" s="50" t="s">
        <v>292</v>
      </c>
      <c r="F94" s="89">
        <f t="shared" ref="F94:J94" si="8">F5</f>
        <v>2021</v>
      </c>
      <c r="G94" s="89">
        <f t="shared" si="8"/>
        <v>2022</v>
      </c>
      <c r="H94" s="89">
        <f t="shared" si="8"/>
        <v>2023</v>
      </c>
      <c r="I94" s="89">
        <f t="shared" si="8"/>
        <v>2024</v>
      </c>
      <c r="J94" s="89">
        <f t="shared" si="8"/>
        <v>2025</v>
      </c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ht="17.25" customHeight="1">
      <c r="A95" s="44"/>
      <c r="B95" s="45"/>
      <c r="C95" s="50"/>
      <c r="D95" s="50" t="s">
        <v>293</v>
      </c>
      <c r="E95" s="271">
        <v>-30009625127.839649</v>
      </c>
      <c r="F95" s="89">
        <f t="shared" ref="F95:J95" si="9">F22</f>
        <v>3189043.8911851048</v>
      </c>
      <c r="G95" s="89">
        <f t="shared" si="9"/>
        <v>7822820.449071845</v>
      </c>
      <c r="H95" s="89">
        <f t="shared" si="9"/>
        <v>14130642.195893893</v>
      </c>
      <c r="I95" s="89">
        <f t="shared" si="9"/>
        <v>19953457.810514156</v>
      </c>
      <c r="J95" s="89">
        <f t="shared" si="9"/>
        <v>22308168.975056238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5.75" customHeight="1">
      <c r="A96" s="44"/>
      <c r="B96" s="45"/>
      <c r="C96" s="50"/>
      <c r="D96" s="50"/>
      <c r="E96" s="50"/>
      <c r="F96" s="89"/>
      <c r="G96" s="89"/>
      <c r="H96" s="89"/>
      <c r="I96" s="89"/>
      <c r="J96" s="8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5.75" customHeight="1">
      <c r="A97" s="44"/>
      <c r="B97" s="45"/>
      <c r="C97" s="50"/>
      <c r="D97" s="50"/>
      <c r="E97" s="50"/>
      <c r="F97" s="89"/>
      <c r="G97" s="89"/>
      <c r="H97" s="89"/>
      <c r="I97" s="89"/>
      <c r="J97" s="89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ht="15.75" customHeight="1">
      <c r="A98" s="44"/>
      <c r="B98" s="45"/>
      <c r="C98" s="50"/>
      <c r="D98" s="50"/>
      <c r="E98" s="50"/>
      <c r="F98" s="89"/>
      <c r="G98" s="89"/>
      <c r="H98" s="89"/>
      <c r="I98" s="89"/>
      <c r="J98" s="89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ht="15.75" customHeight="1">
      <c r="A99" s="44"/>
      <c r="B99" s="45"/>
      <c r="C99" s="50"/>
      <c r="D99" s="50"/>
      <c r="E99" s="50"/>
      <c r="F99" s="89"/>
      <c r="G99" s="89"/>
      <c r="H99" s="89"/>
      <c r="I99" s="89"/>
      <c r="J99" s="89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ht="15.75" customHeight="1">
      <c r="A100" s="44"/>
      <c r="B100" s="45"/>
      <c r="C100" s="50"/>
      <c r="D100" s="50"/>
      <c r="E100" s="50"/>
      <c r="F100" s="89"/>
      <c r="G100" s="89"/>
      <c r="H100" s="89"/>
      <c r="I100" s="89"/>
      <c r="J100" s="89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ht="15.75" customHeight="1">
      <c r="A101" s="44"/>
      <c r="B101" s="45"/>
      <c r="C101" s="50"/>
      <c r="D101" s="50"/>
      <c r="E101" s="50"/>
      <c r="F101" s="89"/>
      <c r="G101" s="89"/>
      <c r="H101" s="89"/>
      <c r="I101" s="89"/>
      <c r="J101" s="89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ht="15.75" customHeight="1">
      <c r="A102" s="44"/>
      <c r="B102" s="45"/>
      <c r="C102" s="50"/>
      <c r="D102" s="50"/>
      <c r="E102" s="50"/>
      <c r="F102" s="89"/>
      <c r="G102" s="89"/>
      <c r="H102" s="89"/>
      <c r="I102" s="89"/>
      <c r="J102" s="89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ht="15.75" customHeight="1">
      <c r="A103" s="44"/>
      <c r="B103" s="45"/>
      <c r="C103" s="50"/>
      <c r="D103" s="50"/>
      <c r="E103" s="50"/>
      <c r="F103" s="89"/>
      <c r="G103" s="89"/>
      <c r="H103" s="89"/>
      <c r="I103" s="89"/>
      <c r="J103" s="89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ht="15.75" customHeight="1">
      <c r="A104" s="44"/>
      <c r="B104" s="45"/>
      <c r="C104" s="50"/>
      <c r="D104" s="50"/>
      <c r="E104" s="50"/>
      <c r="F104" s="89"/>
      <c r="G104" s="89"/>
      <c r="H104" s="89"/>
      <c r="I104" s="89"/>
      <c r="J104" s="8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ht="15.75" customHeight="1">
      <c r="A105" s="44"/>
      <c r="B105" s="45"/>
      <c r="C105" s="50"/>
      <c r="D105" s="50"/>
      <c r="E105" s="50"/>
      <c r="F105" s="89"/>
      <c r="G105" s="89"/>
      <c r="H105" s="89"/>
      <c r="I105" s="89"/>
      <c r="J105" s="8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ht="15.75" customHeight="1">
      <c r="A106" s="44"/>
      <c r="B106" s="45"/>
      <c r="C106" s="50"/>
      <c r="D106" s="50"/>
      <c r="E106" s="50"/>
      <c r="F106" s="89"/>
      <c r="G106" s="89"/>
      <c r="H106" s="89"/>
      <c r="I106" s="89"/>
      <c r="J106" s="8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ht="15.75" customHeight="1">
      <c r="A107" s="44"/>
      <c r="B107" s="45"/>
      <c r="C107" s="50"/>
      <c r="D107" s="50"/>
      <c r="E107" s="50"/>
      <c r="F107" s="89"/>
      <c r="G107" s="89"/>
      <c r="H107" s="89"/>
      <c r="I107" s="89"/>
      <c r="J107" s="8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ht="15.75" customHeight="1">
      <c r="A108" s="44"/>
      <c r="B108" s="45"/>
      <c r="C108" s="50"/>
      <c r="D108" s="50"/>
      <c r="E108" s="50"/>
      <c r="F108" s="89"/>
      <c r="G108" s="89"/>
      <c r="H108" s="89"/>
      <c r="I108" s="89"/>
      <c r="J108" s="89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ht="15.75" customHeight="1">
      <c r="A109" s="44"/>
      <c r="B109" s="45"/>
      <c r="C109" s="50"/>
      <c r="D109" s="50"/>
      <c r="E109" s="50"/>
      <c r="F109" s="89"/>
      <c r="G109" s="89"/>
      <c r="H109" s="89"/>
      <c r="I109" s="89"/>
      <c r="J109" s="89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ht="15.75" customHeight="1">
      <c r="A110" s="44"/>
      <c r="B110" s="45"/>
      <c r="C110" s="50"/>
      <c r="D110" s="50"/>
      <c r="E110" s="50"/>
      <c r="F110" s="89"/>
      <c r="G110" s="89"/>
      <c r="H110" s="89"/>
      <c r="I110" s="89"/>
      <c r="J110" s="8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ht="15.75" customHeight="1">
      <c r="A111" s="44"/>
      <c r="B111" s="45"/>
      <c r="C111" s="50"/>
      <c r="D111" s="50"/>
      <c r="E111" s="50"/>
      <c r="F111" s="89"/>
      <c r="G111" s="89"/>
      <c r="H111" s="89"/>
      <c r="I111" s="89"/>
      <c r="J111" s="8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5.75" customHeight="1">
      <c r="A112" s="44"/>
      <c r="B112" s="45"/>
      <c r="C112" s="50"/>
      <c r="D112" s="50"/>
      <c r="E112" s="50"/>
      <c r="F112" s="89"/>
      <c r="G112" s="89"/>
      <c r="H112" s="89"/>
      <c r="I112" s="89"/>
      <c r="J112" s="8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5.75" customHeight="1">
      <c r="A113" s="44"/>
      <c r="B113" s="45"/>
      <c r="C113" s="50"/>
      <c r="D113" s="50"/>
      <c r="E113" s="50"/>
      <c r="F113" s="89"/>
      <c r="G113" s="89"/>
      <c r="H113" s="89"/>
      <c r="I113" s="89"/>
      <c r="J113" s="8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5.75" customHeight="1">
      <c r="A114" s="44"/>
      <c r="B114" s="45"/>
      <c r="C114" s="50"/>
      <c r="D114" s="50"/>
      <c r="E114" s="50"/>
      <c r="F114" s="89"/>
      <c r="G114" s="89"/>
      <c r="H114" s="89"/>
      <c r="I114" s="89"/>
      <c r="J114" s="8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5.75" customHeight="1">
      <c r="A115" s="44"/>
      <c r="B115" s="45"/>
      <c r="C115" s="50"/>
      <c r="D115" s="50"/>
      <c r="E115" s="50"/>
      <c r="F115" s="89"/>
      <c r="G115" s="89"/>
      <c r="H115" s="89"/>
      <c r="I115" s="89"/>
      <c r="J115" s="89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5.75" customHeight="1">
      <c r="A116" s="44"/>
      <c r="B116" s="45"/>
      <c r="C116" s="50"/>
      <c r="D116" s="50"/>
      <c r="E116" s="50"/>
      <c r="F116" s="89"/>
      <c r="G116" s="89"/>
      <c r="H116" s="89"/>
      <c r="I116" s="89"/>
      <c r="J116" s="89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ht="15.75" customHeight="1">
      <c r="A117" s="3"/>
      <c r="B117" s="3"/>
      <c r="C117" s="50"/>
      <c r="D117" s="50"/>
      <c r="E117" s="50"/>
      <c r="F117" s="89"/>
      <c r="G117" s="89"/>
      <c r="H117" s="89"/>
      <c r="I117" s="89"/>
      <c r="J117" s="89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ht="15.75" customHeight="1">
      <c r="A118" s="3"/>
      <c r="B118" s="3"/>
      <c r="C118" s="50"/>
      <c r="D118" s="50"/>
      <c r="E118" s="50"/>
      <c r="F118" s="89"/>
      <c r="G118" s="89"/>
      <c r="H118" s="89"/>
      <c r="I118" s="89"/>
      <c r="J118" s="89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ht="15.75" customHeight="1">
      <c r="A119" s="3"/>
      <c r="B119" s="3"/>
      <c r="C119" s="50"/>
      <c r="D119" s="50"/>
      <c r="E119" s="50"/>
      <c r="F119" s="89"/>
      <c r="G119" s="89"/>
      <c r="H119" s="89"/>
      <c r="I119" s="89"/>
      <c r="J119" s="89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ht="15.75" customHeight="1">
      <c r="A120" s="3"/>
      <c r="B120" s="3"/>
      <c r="C120" s="50"/>
      <c r="D120" s="50"/>
      <c r="E120" s="50"/>
      <c r="F120" s="89"/>
      <c r="G120" s="89"/>
      <c r="H120" s="89"/>
      <c r="I120" s="89"/>
      <c r="J120" s="89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5.75" customHeight="1">
      <c r="A121" s="3"/>
      <c r="B121" s="3"/>
      <c r="C121" s="50"/>
      <c r="D121" s="50"/>
      <c r="E121" s="50"/>
      <c r="F121" s="89"/>
      <c r="G121" s="89"/>
      <c r="H121" s="89"/>
      <c r="I121" s="89"/>
      <c r="J121" s="89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spans="1:25" ht="15.75" customHeight="1">
      <c r="A122" s="3"/>
      <c r="B122" s="3"/>
      <c r="C122" s="50"/>
      <c r="D122" s="50"/>
      <c r="E122" s="50"/>
      <c r="F122" s="89"/>
      <c r="G122" s="89"/>
      <c r="H122" s="89"/>
      <c r="I122" s="89"/>
      <c r="J122" s="89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ht="15.75" customHeight="1">
      <c r="A123" s="3"/>
      <c r="B123" s="3"/>
      <c r="C123" s="50"/>
      <c r="D123" s="50"/>
      <c r="E123" s="50"/>
      <c r="F123" s="89"/>
      <c r="G123" s="89"/>
      <c r="H123" s="89"/>
      <c r="I123" s="89"/>
      <c r="J123" s="8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spans="1:25" ht="15.75" customHeight="1">
      <c r="A124" s="3"/>
      <c r="B124" s="3"/>
      <c r="C124" s="50"/>
      <c r="D124" s="50"/>
      <c r="E124" s="50"/>
      <c r="F124" s="89"/>
      <c r="G124" s="89"/>
      <c r="H124" s="89"/>
      <c r="I124" s="89"/>
      <c r="J124" s="8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spans="1:25" ht="15.75" customHeight="1">
      <c r="A125" s="3"/>
      <c r="B125" s="3"/>
      <c r="C125" s="50"/>
      <c r="D125" s="50"/>
      <c r="E125" s="50"/>
      <c r="F125" s="89"/>
      <c r="G125" s="89"/>
      <c r="H125" s="89"/>
      <c r="I125" s="89"/>
      <c r="J125" s="89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spans="1:25" ht="15.75" customHeight="1">
      <c r="A126" s="3"/>
      <c r="B126" s="3"/>
      <c r="C126" s="50"/>
      <c r="D126" s="50"/>
      <c r="E126" s="50"/>
      <c r="F126" s="89"/>
      <c r="G126" s="89"/>
      <c r="H126" s="89"/>
      <c r="I126" s="89"/>
      <c r="J126" s="89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ht="15.75" customHeight="1">
      <c r="A127" s="3"/>
      <c r="B127" s="3"/>
      <c r="C127" s="50"/>
      <c r="D127" s="50"/>
      <c r="E127" s="50"/>
      <c r="F127" s="89"/>
      <c r="G127" s="89"/>
      <c r="H127" s="89"/>
      <c r="I127" s="89"/>
      <c r="J127" s="89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ht="15.75" customHeight="1">
      <c r="A128" s="3"/>
      <c r="B128" s="3"/>
      <c r="C128" s="50"/>
      <c r="D128" s="50"/>
      <c r="E128" s="50"/>
      <c r="F128" s="89"/>
      <c r="G128" s="89"/>
      <c r="H128" s="89"/>
      <c r="I128" s="89"/>
      <c r="J128" s="89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ht="15.75" customHeight="1">
      <c r="A129" s="3"/>
      <c r="B129" s="3"/>
      <c r="C129" s="50"/>
      <c r="D129" s="50"/>
      <c r="E129" s="50"/>
      <c r="F129" s="89"/>
      <c r="G129" s="89"/>
      <c r="H129" s="89"/>
      <c r="I129" s="89"/>
      <c r="J129" s="89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ht="15.75" customHeight="1">
      <c r="A130" s="3"/>
      <c r="B130" s="3"/>
      <c r="C130" s="50"/>
      <c r="D130" s="50"/>
      <c r="E130" s="50"/>
      <c r="F130" s="89"/>
      <c r="G130" s="89"/>
      <c r="H130" s="89"/>
      <c r="I130" s="89"/>
      <c r="J130" s="89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15.75" customHeight="1">
      <c r="A131" s="3"/>
      <c r="B131" s="3"/>
      <c r="C131" s="50"/>
      <c r="D131" s="50"/>
      <c r="E131" s="50"/>
      <c r="F131" s="89"/>
      <c r="G131" s="89"/>
      <c r="H131" s="89"/>
      <c r="I131" s="89"/>
      <c r="J131" s="89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ht="15.75" customHeight="1">
      <c r="A132" s="3"/>
      <c r="B132" s="3"/>
      <c r="C132" s="50"/>
      <c r="D132" s="50"/>
      <c r="E132" s="50"/>
      <c r="F132" s="89"/>
      <c r="G132" s="89"/>
      <c r="H132" s="89"/>
      <c r="I132" s="89"/>
      <c r="J132" s="89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ht="15.75" customHeight="1">
      <c r="A133" s="3"/>
      <c r="B133" s="3"/>
      <c r="C133" s="50"/>
      <c r="D133" s="50"/>
      <c r="E133" s="50"/>
      <c r="F133" s="89"/>
      <c r="G133" s="89"/>
      <c r="H133" s="89"/>
      <c r="I133" s="89"/>
      <c r="J133" s="8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ht="15.75" customHeight="1">
      <c r="A134" s="3"/>
      <c r="B134" s="3"/>
      <c r="C134" s="50"/>
      <c r="D134" s="50"/>
      <c r="E134" s="50"/>
      <c r="F134" s="89"/>
      <c r="G134" s="89"/>
      <c r="H134" s="89"/>
      <c r="I134" s="89"/>
      <c r="J134" s="89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ht="15.75" customHeight="1">
      <c r="A135" s="3"/>
      <c r="B135" s="3"/>
      <c r="C135" s="50"/>
      <c r="D135" s="50"/>
      <c r="E135" s="50"/>
      <c r="F135" s="89"/>
      <c r="G135" s="89"/>
      <c r="H135" s="89"/>
      <c r="I135" s="89"/>
      <c r="J135" s="89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ht="15.75" customHeight="1">
      <c r="A136" s="3"/>
      <c r="B136" s="3"/>
      <c r="C136" s="50"/>
      <c r="D136" s="50"/>
      <c r="E136" s="50"/>
      <c r="F136" s="89"/>
      <c r="G136" s="89"/>
      <c r="H136" s="89"/>
      <c r="I136" s="89"/>
      <c r="J136" s="89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ht="15.75" customHeight="1">
      <c r="A137" s="3"/>
      <c r="B137" s="3"/>
      <c r="C137" s="50"/>
      <c r="D137" s="50"/>
      <c r="E137" s="50"/>
      <c r="F137" s="89"/>
      <c r="G137" s="89"/>
      <c r="H137" s="89"/>
      <c r="I137" s="89"/>
      <c r="J137" s="89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ht="15.75" customHeight="1">
      <c r="A138" s="3"/>
      <c r="B138" s="3"/>
      <c r="C138" s="50"/>
      <c r="D138" s="50"/>
      <c r="E138" s="50"/>
      <c r="F138" s="89"/>
      <c r="G138" s="89"/>
      <c r="H138" s="89"/>
      <c r="I138" s="89"/>
      <c r="J138" s="89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ht="15.75" customHeight="1">
      <c r="A139" s="3"/>
      <c r="B139" s="3"/>
      <c r="C139" s="50"/>
      <c r="D139" s="50"/>
      <c r="E139" s="50"/>
      <c r="F139" s="89"/>
      <c r="G139" s="89"/>
      <c r="H139" s="89"/>
      <c r="I139" s="89"/>
      <c r="J139" s="89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ht="15.75" customHeight="1">
      <c r="A140" s="3"/>
      <c r="B140" s="3"/>
      <c r="C140" s="50"/>
      <c r="D140" s="50"/>
      <c r="E140" s="50"/>
      <c r="F140" s="89"/>
      <c r="G140" s="89"/>
      <c r="H140" s="89"/>
      <c r="I140" s="89"/>
      <c r="J140" s="89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ht="15.75" customHeight="1">
      <c r="A141" s="3"/>
      <c r="B141" s="3"/>
      <c r="C141" s="50"/>
      <c r="D141" s="50"/>
      <c r="E141" s="50"/>
      <c r="F141" s="89"/>
      <c r="G141" s="89"/>
      <c r="H141" s="89"/>
      <c r="I141" s="89"/>
      <c r="J141" s="89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5.75" customHeight="1">
      <c r="A142" s="3"/>
      <c r="B142" s="3"/>
      <c r="C142" s="50"/>
      <c r="D142" s="50"/>
      <c r="E142" s="50"/>
      <c r="F142" s="89"/>
      <c r="G142" s="89"/>
      <c r="H142" s="89"/>
      <c r="I142" s="89"/>
      <c r="J142" s="89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ht="15.75" customHeight="1">
      <c r="A143" s="3"/>
      <c r="B143" s="3"/>
      <c r="C143" s="50"/>
      <c r="D143" s="50"/>
      <c r="E143" s="50"/>
      <c r="F143" s="89"/>
      <c r="G143" s="89"/>
      <c r="H143" s="89"/>
      <c r="I143" s="89"/>
      <c r="J143" s="89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ht="15.75" customHeight="1">
      <c r="A144" s="3"/>
      <c r="B144" s="3"/>
      <c r="C144" s="50"/>
      <c r="D144" s="50"/>
      <c r="E144" s="50"/>
      <c r="F144" s="89"/>
      <c r="G144" s="89"/>
      <c r="H144" s="89"/>
      <c r="I144" s="89"/>
      <c r="J144" s="89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ht="15.75" customHeight="1">
      <c r="A145" s="3"/>
      <c r="B145" s="3"/>
      <c r="C145" s="50"/>
      <c r="D145" s="50"/>
      <c r="E145" s="50"/>
      <c r="F145" s="89"/>
      <c r="G145" s="89"/>
      <c r="H145" s="89"/>
      <c r="I145" s="89"/>
      <c r="J145" s="89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ht="15.75" customHeight="1">
      <c r="A146" s="3"/>
      <c r="B146" s="3"/>
      <c r="C146" s="50"/>
      <c r="D146" s="50"/>
      <c r="E146" s="50"/>
      <c r="F146" s="89"/>
      <c r="G146" s="89"/>
      <c r="H146" s="89"/>
      <c r="I146" s="89"/>
      <c r="J146" s="89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ht="15.75" customHeight="1">
      <c r="A147" s="3"/>
      <c r="B147" s="3"/>
      <c r="C147" s="50"/>
      <c r="D147" s="50"/>
      <c r="E147" s="50"/>
      <c r="F147" s="89"/>
      <c r="G147" s="89"/>
      <c r="H147" s="89"/>
      <c r="I147" s="89"/>
      <c r="J147" s="89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ht="15.75" customHeight="1">
      <c r="A148" s="3"/>
      <c r="B148" s="3"/>
      <c r="C148" s="50"/>
      <c r="D148" s="50"/>
      <c r="E148" s="50"/>
      <c r="F148" s="89"/>
      <c r="G148" s="89"/>
      <c r="H148" s="89"/>
      <c r="I148" s="89"/>
      <c r="J148" s="89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5.75" customHeight="1">
      <c r="A149" s="3"/>
      <c r="B149" s="3"/>
      <c r="C149" s="50"/>
      <c r="D149" s="50"/>
      <c r="E149" s="50"/>
      <c r="F149" s="89"/>
      <c r="G149" s="89"/>
      <c r="H149" s="89"/>
      <c r="I149" s="89"/>
      <c r="J149" s="89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ht="15.75" customHeight="1">
      <c r="A150" s="3"/>
      <c r="B150" s="3"/>
      <c r="C150" s="50"/>
      <c r="D150" s="50"/>
      <c r="E150" s="50"/>
      <c r="F150" s="89"/>
      <c r="G150" s="89"/>
      <c r="H150" s="89"/>
      <c r="I150" s="89"/>
      <c r="J150" s="89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ht="15.75" customHeight="1">
      <c r="A151" s="3"/>
      <c r="B151" s="3"/>
      <c r="C151" s="50"/>
      <c r="D151" s="50"/>
      <c r="E151" s="50"/>
      <c r="F151" s="89"/>
      <c r="G151" s="89"/>
      <c r="H151" s="89"/>
      <c r="I151" s="89"/>
      <c r="J151" s="89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15.75" customHeight="1">
      <c r="A152" s="3"/>
      <c r="B152" s="3"/>
      <c r="C152" s="50"/>
      <c r="D152" s="50"/>
      <c r="E152" s="50"/>
      <c r="F152" s="89"/>
      <c r="G152" s="89"/>
      <c r="H152" s="89"/>
      <c r="I152" s="89"/>
      <c r="J152" s="89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spans="1:25" ht="15.75" customHeight="1">
      <c r="A153" s="3"/>
      <c r="B153" s="3"/>
      <c r="C153" s="50"/>
      <c r="D153" s="50"/>
      <c r="E153" s="50"/>
      <c r="F153" s="89"/>
      <c r="G153" s="89"/>
      <c r="H153" s="89"/>
      <c r="I153" s="89"/>
      <c r="J153" s="89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spans="1:25" ht="15.75" customHeight="1">
      <c r="A154" s="3"/>
      <c r="B154" s="3"/>
      <c r="C154" s="50"/>
      <c r="D154" s="50"/>
      <c r="E154" s="50"/>
      <c r="F154" s="89"/>
      <c r="G154" s="89"/>
      <c r="H154" s="89"/>
      <c r="I154" s="89"/>
      <c r="J154" s="89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spans="1:25" ht="15.75" customHeight="1">
      <c r="A155" s="3"/>
      <c r="B155" s="3"/>
      <c r="C155" s="50"/>
      <c r="D155" s="50"/>
      <c r="E155" s="50"/>
      <c r="F155" s="89"/>
      <c r="G155" s="89"/>
      <c r="H155" s="89"/>
      <c r="I155" s="89"/>
      <c r="J155" s="89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spans="1:25" ht="15.75" customHeight="1">
      <c r="A156" s="3"/>
      <c r="B156" s="3"/>
      <c r="C156" s="50"/>
      <c r="D156" s="50"/>
      <c r="E156" s="50"/>
      <c r="F156" s="89"/>
      <c r="G156" s="89"/>
      <c r="H156" s="89"/>
      <c r="I156" s="89"/>
      <c r="J156" s="89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spans="1:25" ht="15.75" customHeight="1">
      <c r="A157" s="3"/>
      <c r="B157" s="3"/>
      <c r="C157" s="50"/>
      <c r="D157" s="50"/>
      <c r="E157" s="50"/>
      <c r="F157" s="89"/>
      <c r="G157" s="89"/>
      <c r="H157" s="89"/>
      <c r="I157" s="89"/>
      <c r="J157" s="89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spans="1:25" ht="15.75" customHeight="1">
      <c r="A158" s="3"/>
      <c r="B158" s="3"/>
      <c r="C158" s="50"/>
      <c r="D158" s="50"/>
      <c r="E158" s="50"/>
      <c r="F158" s="89"/>
      <c r="G158" s="89"/>
      <c r="H158" s="89"/>
      <c r="I158" s="89"/>
      <c r="J158" s="89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ht="15.75" customHeight="1">
      <c r="A159" s="3"/>
      <c r="B159" s="3"/>
      <c r="C159" s="50"/>
      <c r="D159" s="50"/>
      <c r="E159" s="50"/>
      <c r="F159" s="89"/>
      <c r="G159" s="89"/>
      <c r="H159" s="89"/>
      <c r="I159" s="89"/>
      <c r="J159" s="89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spans="1:25" ht="15.75" customHeight="1">
      <c r="A160" s="3"/>
      <c r="B160" s="3"/>
      <c r="C160" s="50"/>
      <c r="D160" s="50"/>
      <c r="E160" s="50"/>
      <c r="F160" s="89"/>
      <c r="G160" s="89"/>
      <c r="H160" s="89"/>
      <c r="I160" s="89"/>
      <c r="J160" s="89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5" ht="15.75" customHeight="1">
      <c r="A161" s="3"/>
      <c r="B161" s="3"/>
      <c r="C161" s="50"/>
      <c r="D161" s="50"/>
      <c r="E161" s="50"/>
      <c r="F161" s="89"/>
      <c r="G161" s="89"/>
      <c r="H161" s="89"/>
      <c r="I161" s="89"/>
      <c r="J161" s="89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spans="1:25" ht="15.75" customHeight="1">
      <c r="A162" s="3"/>
      <c r="B162" s="3"/>
      <c r="C162" s="50"/>
      <c r="D162" s="50"/>
      <c r="E162" s="50"/>
      <c r="F162" s="89"/>
      <c r="G162" s="89"/>
      <c r="H162" s="89"/>
      <c r="I162" s="89"/>
      <c r="J162" s="89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spans="1:25" ht="15.75" customHeight="1">
      <c r="A163" s="3"/>
      <c r="B163" s="3"/>
      <c r="C163" s="50"/>
      <c r="D163" s="50"/>
      <c r="E163" s="50"/>
      <c r="F163" s="89"/>
      <c r="G163" s="89"/>
      <c r="H163" s="89"/>
      <c r="I163" s="89"/>
      <c r="J163" s="89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spans="1:25" ht="15.75" customHeight="1">
      <c r="A164" s="3"/>
      <c r="B164" s="3"/>
      <c r="C164" s="50"/>
      <c r="D164" s="50"/>
      <c r="E164" s="50"/>
      <c r="F164" s="89"/>
      <c r="G164" s="89"/>
      <c r="H164" s="89"/>
      <c r="I164" s="89"/>
      <c r="J164" s="89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ht="15.75" customHeight="1">
      <c r="A165" s="3"/>
      <c r="B165" s="3"/>
      <c r="C165" s="50"/>
      <c r="D165" s="50"/>
      <c r="E165" s="50"/>
      <c r="F165" s="89"/>
      <c r="G165" s="89"/>
      <c r="H165" s="89"/>
      <c r="I165" s="89"/>
      <c r="J165" s="89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spans="1:25" ht="15.75" customHeight="1">
      <c r="A166" s="3"/>
      <c r="B166" s="3"/>
      <c r="C166" s="50"/>
      <c r="D166" s="50"/>
      <c r="E166" s="50"/>
      <c r="F166" s="89"/>
      <c r="G166" s="89"/>
      <c r="H166" s="89"/>
      <c r="I166" s="89"/>
      <c r="J166" s="89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1:25" ht="15.75" customHeight="1">
      <c r="A167" s="3"/>
      <c r="B167" s="3"/>
      <c r="C167" s="50"/>
      <c r="D167" s="50"/>
      <c r="E167" s="50"/>
      <c r="F167" s="89"/>
      <c r="G167" s="89"/>
      <c r="H167" s="89"/>
      <c r="I167" s="89"/>
      <c r="J167" s="89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ht="15.75" customHeight="1">
      <c r="A168" s="3"/>
      <c r="B168" s="3"/>
      <c r="C168" s="50"/>
      <c r="D168" s="50"/>
      <c r="E168" s="50"/>
      <c r="F168" s="89"/>
      <c r="G168" s="89"/>
      <c r="H168" s="89"/>
      <c r="I168" s="89"/>
      <c r="J168" s="89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ht="15.75" customHeight="1">
      <c r="A169" s="3"/>
      <c r="B169" s="3"/>
      <c r="C169" s="50"/>
      <c r="D169" s="50"/>
      <c r="E169" s="50"/>
      <c r="F169" s="89"/>
      <c r="G169" s="89"/>
      <c r="H169" s="89"/>
      <c r="I169" s="89"/>
      <c r="J169" s="89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ht="15.75" customHeight="1">
      <c r="A170" s="3"/>
      <c r="B170" s="3"/>
      <c r="C170" s="50"/>
      <c r="D170" s="50"/>
      <c r="E170" s="50"/>
      <c r="F170" s="89"/>
      <c r="G170" s="89"/>
      <c r="H170" s="89"/>
      <c r="I170" s="89"/>
      <c r="J170" s="89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ht="15.75" customHeight="1">
      <c r="A171" s="3"/>
      <c r="B171" s="3"/>
      <c r="C171" s="50"/>
      <c r="D171" s="50"/>
      <c r="E171" s="50"/>
      <c r="F171" s="89"/>
      <c r="G171" s="89"/>
      <c r="H171" s="89"/>
      <c r="I171" s="89"/>
      <c r="J171" s="89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15.75" customHeight="1">
      <c r="A172" s="3"/>
      <c r="B172" s="3"/>
      <c r="C172" s="50"/>
      <c r="D172" s="50"/>
      <c r="E172" s="50"/>
      <c r="F172" s="89"/>
      <c r="G172" s="89"/>
      <c r="H172" s="89"/>
      <c r="I172" s="89"/>
      <c r="J172" s="89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ht="15.75" customHeight="1">
      <c r="A173" s="3"/>
      <c r="B173" s="3"/>
      <c r="C173" s="50"/>
      <c r="D173" s="50"/>
      <c r="E173" s="50"/>
      <c r="F173" s="89"/>
      <c r="G173" s="89"/>
      <c r="H173" s="89"/>
      <c r="I173" s="89"/>
      <c r="J173" s="89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ht="15.75" customHeight="1">
      <c r="A174" s="3"/>
      <c r="B174" s="3"/>
      <c r="C174" s="50"/>
      <c r="D174" s="50"/>
      <c r="E174" s="50"/>
      <c r="F174" s="89"/>
      <c r="G174" s="89"/>
      <c r="H174" s="89"/>
      <c r="I174" s="89"/>
      <c r="J174" s="89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ht="15.75" customHeight="1">
      <c r="A175" s="3"/>
      <c r="B175" s="3"/>
      <c r="C175" s="50"/>
      <c r="D175" s="50"/>
      <c r="E175" s="50"/>
      <c r="F175" s="89"/>
      <c r="G175" s="89"/>
      <c r="H175" s="89"/>
      <c r="I175" s="89"/>
      <c r="J175" s="89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ht="15.75" customHeight="1">
      <c r="A176" s="3"/>
      <c r="B176" s="3"/>
      <c r="C176" s="50"/>
      <c r="D176" s="50"/>
      <c r="E176" s="50"/>
      <c r="F176" s="89"/>
      <c r="G176" s="89"/>
      <c r="H176" s="89"/>
      <c r="I176" s="89"/>
      <c r="J176" s="89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spans="1:25" ht="15.75" customHeight="1">
      <c r="A177" s="3"/>
      <c r="B177" s="3"/>
      <c r="C177" s="50"/>
      <c r="D177" s="50"/>
      <c r="E177" s="50"/>
      <c r="F177" s="89"/>
      <c r="G177" s="89"/>
      <c r="H177" s="89"/>
      <c r="I177" s="89"/>
      <c r="J177" s="89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spans="1:25" ht="15.75" customHeight="1">
      <c r="A178" s="3"/>
      <c r="B178" s="3"/>
      <c r="C178" s="50"/>
      <c r="D178" s="50"/>
      <c r="E178" s="50"/>
      <c r="F178" s="89"/>
      <c r="G178" s="89"/>
      <c r="H178" s="89"/>
      <c r="I178" s="89"/>
      <c r="J178" s="89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spans="1:25" ht="15.75" customHeight="1">
      <c r="A179" s="3"/>
      <c r="B179" s="3"/>
      <c r="C179" s="50"/>
      <c r="D179" s="50"/>
      <c r="E179" s="50"/>
      <c r="F179" s="89"/>
      <c r="G179" s="89"/>
      <c r="H179" s="89"/>
      <c r="I179" s="89"/>
      <c r="J179" s="89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spans="1:25" ht="15.75" customHeight="1">
      <c r="A180" s="3"/>
      <c r="B180" s="3"/>
      <c r="C180" s="50"/>
      <c r="D180" s="50"/>
      <c r="E180" s="50"/>
      <c r="F180" s="89"/>
      <c r="G180" s="89"/>
      <c r="H180" s="89"/>
      <c r="I180" s="89"/>
      <c r="J180" s="89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spans="1:25" ht="15.75" customHeight="1">
      <c r="A181" s="3"/>
      <c r="B181" s="3"/>
      <c r="C181" s="50"/>
      <c r="D181" s="50"/>
      <c r="E181" s="50"/>
      <c r="F181" s="89"/>
      <c r="G181" s="89"/>
      <c r="H181" s="89"/>
      <c r="I181" s="89"/>
      <c r="J181" s="89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spans="1:25" ht="15.75" customHeight="1">
      <c r="A182" s="3"/>
      <c r="B182" s="3"/>
      <c r="C182" s="50"/>
      <c r="D182" s="50"/>
      <c r="E182" s="50"/>
      <c r="F182" s="89"/>
      <c r="G182" s="89"/>
      <c r="H182" s="89"/>
      <c r="I182" s="89"/>
      <c r="J182" s="89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spans="1:25" ht="15.75" customHeight="1">
      <c r="A183" s="3"/>
      <c r="B183" s="3"/>
      <c r="C183" s="50"/>
      <c r="D183" s="50"/>
      <c r="E183" s="50"/>
      <c r="F183" s="89"/>
      <c r="G183" s="89"/>
      <c r="H183" s="89"/>
      <c r="I183" s="89"/>
      <c r="J183" s="89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spans="1:25" ht="15.75" customHeight="1">
      <c r="A184" s="3"/>
      <c r="B184" s="3"/>
      <c r="C184" s="50"/>
      <c r="D184" s="50"/>
      <c r="E184" s="50"/>
      <c r="F184" s="89"/>
      <c r="G184" s="89"/>
      <c r="H184" s="89"/>
      <c r="I184" s="89"/>
      <c r="J184" s="89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5" ht="15.75" customHeight="1">
      <c r="A185" s="3"/>
      <c r="B185" s="3"/>
      <c r="C185" s="50"/>
      <c r="D185" s="50"/>
      <c r="E185" s="50"/>
      <c r="F185" s="89"/>
      <c r="G185" s="89"/>
      <c r="H185" s="89"/>
      <c r="I185" s="89"/>
      <c r="J185" s="89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5" ht="15.75" customHeight="1">
      <c r="A186" s="3"/>
      <c r="B186" s="3"/>
      <c r="C186" s="50"/>
      <c r="D186" s="50"/>
      <c r="E186" s="50"/>
      <c r="F186" s="89"/>
      <c r="G186" s="89"/>
      <c r="H186" s="89"/>
      <c r="I186" s="89"/>
      <c r="J186" s="89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spans="1:25" ht="15.75" customHeight="1">
      <c r="A187" s="3"/>
      <c r="B187" s="3"/>
      <c r="C187" s="50"/>
      <c r="D187" s="50"/>
      <c r="E187" s="50"/>
      <c r="F187" s="89"/>
      <c r="G187" s="89"/>
      <c r="H187" s="89"/>
      <c r="I187" s="89"/>
      <c r="J187" s="89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5" ht="15.75" customHeight="1">
      <c r="A188" s="3"/>
      <c r="B188" s="3"/>
      <c r="C188" s="50"/>
      <c r="D188" s="50"/>
      <c r="E188" s="50"/>
      <c r="F188" s="89"/>
      <c r="G188" s="89"/>
      <c r="H188" s="89"/>
      <c r="I188" s="89"/>
      <c r="J188" s="89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15.75" customHeight="1">
      <c r="A189" s="3"/>
      <c r="B189" s="3"/>
      <c r="C189" s="50"/>
      <c r="D189" s="50"/>
      <c r="E189" s="50"/>
      <c r="F189" s="89"/>
      <c r="G189" s="89"/>
      <c r="H189" s="89"/>
      <c r="I189" s="89"/>
      <c r="J189" s="89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5.75" customHeight="1">
      <c r="A190" s="3"/>
      <c r="B190" s="3"/>
      <c r="C190" s="50"/>
      <c r="D190" s="50"/>
      <c r="E190" s="50"/>
      <c r="F190" s="89"/>
      <c r="G190" s="89"/>
      <c r="H190" s="89"/>
      <c r="I190" s="89"/>
      <c r="J190" s="89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spans="1:25" ht="15.75" customHeight="1">
      <c r="A191" s="3"/>
      <c r="B191" s="3"/>
      <c r="C191" s="50"/>
      <c r="D191" s="50"/>
      <c r="E191" s="50"/>
      <c r="F191" s="89"/>
      <c r="G191" s="89"/>
      <c r="H191" s="89"/>
      <c r="I191" s="89"/>
      <c r="J191" s="89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spans="1:25" ht="15.75" customHeight="1">
      <c r="A192" s="3"/>
      <c r="B192" s="3"/>
      <c r="C192" s="50"/>
      <c r="D192" s="50"/>
      <c r="E192" s="50"/>
      <c r="F192" s="89"/>
      <c r="G192" s="89"/>
      <c r="H192" s="89"/>
      <c r="I192" s="89"/>
      <c r="J192" s="89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spans="1:25" ht="15.75" customHeight="1">
      <c r="A193" s="3"/>
      <c r="B193" s="3"/>
      <c r="C193" s="50"/>
      <c r="D193" s="50"/>
      <c r="E193" s="50"/>
      <c r="F193" s="89"/>
      <c r="G193" s="89"/>
      <c r="H193" s="89"/>
      <c r="I193" s="89"/>
      <c r="J193" s="89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spans="1:25" ht="15.75" customHeight="1">
      <c r="A194" s="3"/>
      <c r="B194" s="3"/>
      <c r="C194" s="50"/>
      <c r="D194" s="50"/>
      <c r="E194" s="50"/>
      <c r="F194" s="89"/>
      <c r="G194" s="89"/>
      <c r="H194" s="89"/>
      <c r="I194" s="89"/>
      <c r="J194" s="89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5.75" customHeight="1">
      <c r="A195" s="3"/>
      <c r="B195" s="3"/>
      <c r="C195" s="50"/>
      <c r="D195" s="50"/>
      <c r="E195" s="50"/>
      <c r="F195" s="89"/>
      <c r="G195" s="89"/>
      <c r="H195" s="89"/>
      <c r="I195" s="89"/>
      <c r="J195" s="89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spans="1:25" ht="15.75" customHeight="1">
      <c r="A196" s="3"/>
      <c r="B196" s="3"/>
      <c r="C196" s="50"/>
      <c r="D196" s="50"/>
      <c r="E196" s="50"/>
      <c r="F196" s="89"/>
      <c r="G196" s="89"/>
      <c r="H196" s="89"/>
      <c r="I196" s="89"/>
      <c r="J196" s="89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5" ht="15.75" customHeight="1">
      <c r="A197" s="3"/>
      <c r="B197" s="3"/>
      <c r="C197" s="50"/>
      <c r="D197" s="50"/>
      <c r="E197" s="50"/>
      <c r="F197" s="89"/>
      <c r="G197" s="89"/>
      <c r="H197" s="89"/>
      <c r="I197" s="89"/>
      <c r="J197" s="89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spans="1:25" ht="15.75" customHeight="1">
      <c r="A198" s="3"/>
      <c r="B198" s="3"/>
      <c r="C198" s="50"/>
      <c r="D198" s="50"/>
      <c r="E198" s="50"/>
      <c r="F198" s="89"/>
      <c r="G198" s="89"/>
      <c r="H198" s="89"/>
      <c r="I198" s="89"/>
      <c r="J198" s="89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spans="1:25" ht="15.75" customHeight="1">
      <c r="A199" s="3"/>
      <c r="B199" s="3"/>
      <c r="C199" s="50"/>
      <c r="D199" s="50"/>
      <c r="E199" s="50"/>
      <c r="F199" s="89"/>
      <c r="G199" s="89"/>
      <c r="H199" s="89"/>
      <c r="I199" s="89"/>
      <c r="J199" s="89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5.75" customHeight="1">
      <c r="A200" s="3"/>
      <c r="B200" s="3"/>
      <c r="C200" s="50"/>
      <c r="D200" s="50"/>
      <c r="E200" s="50"/>
      <c r="F200" s="89"/>
      <c r="G200" s="89"/>
      <c r="H200" s="89"/>
      <c r="I200" s="89"/>
      <c r="J200" s="89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5" ht="15.75" customHeight="1">
      <c r="A201" s="3"/>
      <c r="B201" s="3"/>
      <c r="C201" s="50"/>
      <c r="D201" s="50"/>
      <c r="E201" s="50"/>
      <c r="F201" s="89"/>
      <c r="G201" s="89"/>
      <c r="H201" s="89"/>
      <c r="I201" s="89"/>
      <c r="J201" s="89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spans="1:25" ht="15.75" customHeight="1">
      <c r="A202" s="3"/>
      <c r="B202" s="3"/>
      <c r="C202" s="50"/>
      <c r="D202" s="50"/>
      <c r="E202" s="50"/>
      <c r="F202" s="89"/>
      <c r="G202" s="89"/>
      <c r="H202" s="89"/>
      <c r="I202" s="89"/>
      <c r="J202" s="89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pans="1:25" ht="15.75" customHeight="1">
      <c r="A203" s="3"/>
      <c r="B203" s="3"/>
      <c r="C203" s="50"/>
      <c r="D203" s="50"/>
      <c r="E203" s="50"/>
      <c r="F203" s="89"/>
      <c r="G203" s="89"/>
      <c r="H203" s="89"/>
      <c r="I203" s="89"/>
      <c r="J203" s="89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pans="1:25" ht="15.75" customHeight="1">
      <c r="A204" s="3"/>
      <c r="B204" s="3"/>
      <c r="C204" s="50"/>
      <c r="D204" s="50"/>
      <c r="E204" s="50"/>
      <c r="F204" s="89"/>
      <c r="G204" s="89"/>
      <c r="H204" s="89"/>
      <c r="I204" s="89"/>
      <c r="J204" s="89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1:25" ht="15.75" customHeight="1">
      <c r="A205" s="3"/>
      <c r="B205" s="3"/>
      <c r="C205" s="50"/>
      <c r="D205" s="50"/>
      <c r="E205" s="50"/>
      <c r="F205" s="89"/>
      <c r="G205" s="89"/>
      <c r="H205" s="89"/>
      <c r="I205" s="89"/>
      <c r="J205" s="89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5" ht="15.75" customHeight="1">
      <c r="A206" s="3"/>
      <c r="B206" s="3"/>
      <c r="C206" s="50"/>
      <c r="D206" s="50"/>
      <c r="E206" s="50"/>
      <c r="F206" s="89"/>
      <c r="G206" s="89"/>
      <c r="H206" s="89"/>
      <c r="I206" s="89"/>
      <c r="J206" s="89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pans="1:25" ht="15.75" customHeight="1">
      <c r="A207" s="3"/>
      <c r="B207" s="3"/>
      <c r="C207" s="50"/>
      <c r="D207" s="50"/>
      <c r="E207" s="50"/>
      <c r="F207" s="89"/>
      <c r="G207" s="89"/>
      <c r="H207" s="89"/>
      <c r="I207" s="89"/>
      <c r="J207" s="89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5" ht="15.75" customHeight="1">
      <c r="A208" s="3"/>
      <c r="B208" s="3"/>
      <c r="C208" s="50"/>
      <c r="D208" s="50"/>
      <c r="E208" s="50"/>
      <c r="F208" s="89"/>
      <c r="G208" s="89"/>
      <c r="H208" s="89"/>
      <c r="I208" s="89"/>
      <c r="J208" s="89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pans="1:25" ht="15.75" customHeight="1">
      <c r="A209" s="3"/>
      <c r="B209" s="3"/>
      <c r="C209" s="50"/>
      <c r="D209" s="50"/>
      <c r="E209" s="50"/>
      <c r="F209" s="89"/>
      <c r="G209" s="89"/>
      <c r="H209" s="89"/>
      <c r="I209" s="89"/>
      <c r="J209" s="89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pans="1:25" ht="15.75" customHeight="1">
      <c r="A210" s="3"/>
      <c r="B210" s="3"/>
      <c r="C210" s="50"/>
      <c r="D210" s="50"/>
      <c r="E210" s="50"/>
      <c r="F210" s="89"/>
      <c r="G210" s="89"/>
      <c r="H210" s="89"/>
      <c r="I210" s="89"/>
      <c r="J210" s="89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pans="1:25" ht="15.75" customHeight="1">
      <c r="A211" s="3"/>
      <c r="B211" s="3"/>
      <c r="C211" s="50"/>
      <c r="D211" s="50"/>
      <c r="E211" s="50"/>
      <c r="F211" s="89"/>
      <c r="G211" s="89"/>
      <c r="H211" s="89"/>
      <c r="I211" s="89"/>
      <c r="J211" s="89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pans="1:25" ht="15.75" customHeight="1">
      <c r="A212" s="3"/>
      <c r="B212" s="3"/>
      <c r="C212" s="50"/>
      <c r="D212" s="50"/>
      <c r="E212" s="50"/>
      <c r="F212" s="89"/>
      <c r="G212" s="89"/>
      <c r="H212" s="89"/>
      <c r="I212" s="89"/>
      <c r="J212" s="89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pans="1:25" ht="15.75" customHeight="1">
      <c r="A213" s="3"/>
      <c r="B213" s="3"/>
      <c r="C213" s="50"/>
      <c r="D213" s="50"/>
      <c r="E213" s="50"/>
      <c r="F213" s="89"/>
      <c r="G213" s="89"/>
      <c r="H213" s="89"/>
      <c r="I213" s="89"/>
      <c r="J213" s="89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pans="1:25" ht="15.75" customHeight="1">
      <c r="A214" s="3"/>
      <c r="B214" s="3"/>
      <c r="C214" s="50"/>
      <c r="D214" s="50"/>
      <c r="E214" s="50"/>
      <c r="F214" s="89"/>
      <c r="G214" s="89"/>
      <c r="H214" s="89"/>
      <c r="I214" s="89"/>
      <c r="J214" s="89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pans="1:25" ht="15.75" customHeight="1">
      <c r="A215" s="3"/>
      <c r="B215" s="3"/>
      <c r="C215" s="50"/>
      <c r="D215" s="50"/>
      <c r="E215" s="50"/>
      <c r="F215" s="89"/>
      <c r="G215" s="89"/>
      <c r="H215" s="89"/>
      <c r="I215" s="89"/>
      <c r="J215" s="89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pans="1:25" ht="15.75" customHeight="1">
      <c r="A216" s="3"/>
      <c r="B216" s="3"/>
      <c r="C216" s="50"/>
      <c r="D216" s="50"/>
      <c r="E216" s="50"/>
      <c r="F216" s="89"/>
      <c r="G216" s="89"/>
      <c r="H216" s="89"/>
      <c r="I216" s="89"/>
      <c r="J216" s="89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pans="1:25" ht="15.75" customHeight="1">
      <c r="A217" s="3"/>
      <c r="B217" s="3"/>
      <c r="C217" s="50"/>
      <c r="D217" s="50"/>
      <c r="E217" s="50"/>
      <c r="F217" s="89"/>
      <c r="G217" s="89"/>
      <c r="H217" s="89"/>
      <c r="I217" s="89"/>
      <c r="J217" s="89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pans="1:25" ht="15.75" customHeight="1">
      <c r="A218" s="3"/>
      <c r="B218" s="3"/>
      <c r="C218" s="50"/>
      <c r="D218" s="50"/>
      <c r="E218" s="50"/>
      <c r="F218" s="89"/>
      <c r="G218" s="89"/>
      <c r="H218" s="89"/>
      <c r="I218" s="89"/>
      <c r="J218" s="89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pans="1:25" ht="15.75" customHeight="1">
      <c r="A219" s="3"/>
      <c r="B219" s="3"/>
      <c r="C219" s="50"/>
      <c r="D219" s="50"/>
      <c r="E219" s="50"/>
      <c r="F219" s="89"/>
      <c r="G219" s="89"/>
      <c r="H219" s="89"/>
      <c r="I219" s="89"/>
      <c r="J219" s="89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pans="1:25" ht="15.75" customHeight="1">
      <c r="A220" s="3"/>
      <c r="B220" s="3"/>
      <c r="C220" s="50"/>
      <c r="D220" s="50"/>
      <c r="E220" s="50"/>
      <c r="F220" s="89"/>
      <c r="G220" s="89"/>
      <c r="H220" s="89"/>
      <c r="I220" s="89"/>
      <c r="J220" s="89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pans="1:25" ht="15.75" customHeight="1">
      <c r="A221" s="3"/>
      <c r="B221" s="3"/>
      <c r="C221" s="50"/>
      <c r="D221" s="50"/>
      <c r="E221" s="50"/>
      <c r="F221" s="89"/>
      <c r="G221" s="89"/>
      <c r="H221" s="89"/>
      <c r="I221" s="89"/>
      <c r="J221" s="89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pans="1:25" ht="15.75" customHeight="1">
      <c r="A222" s="3"/>
      <c r="B222" s="3"/>
      <c r="C222" s="50"/>
      <c r="D222" s="50"/>
      <c r="E222" s="50"/>
      <c r="F222" s="89"/>
      <c r="G222" s="89"/>
      <c r="H222" s="89"/>
      <c r="I222" s="89"/>
      <c r="J222" s="89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pans="1:25" ht="15.75" customHeight="1">
      <c r="A223" s="3"/>
      <c r="B223" s="3"/>
      <c r="C223" s="50"/>
      <c r="D223" s="50"/>
      <c r="E223" s="50"/>
      <c r="F223" s="89"/>
      <c r="G223" s="89"/>
      <c r="H223" s="89"/>
      <c r="I223" s="89"/>
      <c r="J223" s="89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pans="1:25" ht="15.75" customHeight="1">
      <c r="A224" s="3"/>
      <c r="B224" s="3"/>
      <c r="C224" s="50"/>
      <c r="D224" s="50"/>
      <c r="E224" s="50"/>
      <c r="F224" s="89"/>
      <c r="G224" s="89"/>
      <c r="H224" s="89"/>
      <c r="I224" s="89"/>
      <c r="J224" s="89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pans="1:25" ht="15.75" customHeight="1">
      <c r="A225" s="3"/>
      <c r="B225" s="3"/>
      <c r="C225" s="50"/>
      <c r="D225" s="50"/>
      <c r="E225" s="50"/>
      <c r="F225" s="89"/>
      <c r="G225" s="89"/>
      <c r="H225" s="89"/>
      <c r="I225" s="89"/>
      <c r="J225" s="89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pans="1:25" ht="15.75" customHeight="1">
      <c r="A226" s="3"/>
      <c r="B226" s="3"/>
      <c r="C226" s="50"/>
      <c r="D226" s="50"/>
      <c r="E226" s="50"/>
      <c r="F226" s="89"/>
      <c r="G226" s="89"/>
      <c r="H226" s="89"/>
      <c r="I226" s="89"/>
      <c r="J226" s="89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pans="1:25" ht="15.75" customHeight="1">
      <c r="A227" s="3"/>
      <c r="B227" s="3"/>
      <c r="C227" s="50"/>
      <c r="D227" s="50"/>
      <c r="E227" s="50"/>
      <c r="F227" s="89"/>
      <c r="G227" s="89"/>
      <c r="H227" s="89"/>
      <c r="I227" s="89"/>
      <c r="J227" s="89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15.75" customHeight="1">
      <c r="A228" s="3"/>
      <c r="B228" s="3"/>
      <c r="C228" s="50"/>
      <c r="D228" s="50"/>
      <c r="E228" s="50"/>
      <c r="F228" s="89"/>
      <c r="G228" s="89"/>
      <c r="H228" s="89"/>
      <c r="I228" s="89"/>
      <c r="J228" s="89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pans="1:25" ht="15.75" customHeight="1">
      <c r="A229" s="3"/>
      <c r="B229" s="3"/>
      <c r="C229" s="50"/>
      <c r="D229" s="50"/>
      <c r="E229" s="50"/>
      <c r="F229" s="89"/>
      <c r="G229" s="89"/>
      <c r="H229" s="89"/>
      <c r="I229" s="89"/>
      <c r="J229" s="89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pans="1:25" ht="15.75" customHeight="1">
      <c r="A230" s="3"/>
      <c r="B230" s="3"/>
      <c r="C230" s="50"/>
      <c r="D230" s="50"/>
      <c r="E230" s="50"/>
      <c r="F230" s="89"/>
      <c r="G230" s="89"/>
      <c r="H230" s="89"/>
      <c r="I230" s="89"/>
      <c r="J230" s="89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pans="1:25" ht="15.75" customHeight="1">
      <c r="A231" s="3"/>
      <c r="B231" s="3"/>
      <c r="C231" s="50"/>
      <c r="D231" s="50"/>
      <c r="E231" s="50"/>
      <c r="F231" s="89"/>
      <c r="G231" s="89"/>
      <c r="H231" s="89"/>
      <c r="I231" s="89"/>
      <c r="J231" s="89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pans="1:25" ht="15.75" customHeight="1">
      <c r="A232" s="3"/>
      <c r="B232" s="3"/>
      <c r="C232" s="50"/>
      <c r="D232" s="50"/>
      <c r="E232" s="50"/>
      <c r="F232" s="89"/>
      <c r="G232" s="89"/>
      <c r="H232" s="89"/>
      <c r="I232" s="89"/>
      <c r="J232" s="89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pans="1:25" ht="15.75" customHeight="1">
      <c r="A233" s="3"/>
      <c r="B233" s="3"/>
      <c r="C233" s="50"/>
      <c r="D233" s="50"/>
      <c r="E233" s="50"/>
      <c r="F233" s="89"/>
      <c r="G233" s="89"/>
      <c r="H233" s="89"/>
      <c r="I233" s="89"/>
      <c r="J233" s="89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pans="1:25" ht="15.75" customHeight="1">
      <c r="A234" s="3"/>
      <c r="B234" s="3"/>
      <c r="C234" s="50"/>
      <c r="D234" s="50"/>
      <c r="E234" s="50"/>
      <c r="F234" s="89"/>
      <c r="G234" s="89"/>
      <c r="H234" s="89"/>
      <c r="I234" s="89"/>
      <c r="J234" s="89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ht="15.75" customHeight="1">
      <c r="A235" s="3"/>
      <c r="B235" s="3"/>
      <c r="C235" s="50"/>
      <c r="D235" s="50"/>
      <c r="E235" s="50"/>
      <c r="F235" s="89"/>
      <c r="G235" s="89"/>
      <c r="H235" s="89"/>
      <c r="I235" s="89"/>
      <c r="J235" s="89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ht="15.75" customHeight="1">
      <c r="A236" s="3"/>
      <c r="B236" s="3"/>
      <c r="C236" s="50"/>
      <c r="D236" s="50"/>
      <c r="E236" s="50"/>
      <c r="F236" s="89"/>
      <c r="G236" s="89"/>
      <c r="H236" s="89"/>
      <c r="I236" s="89"/>
      <c r="J236" s="89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pans="1:25" ht="15.75" customHeight="1">
      <c r="A237" s="3"/>
      <c r="B237" s="3"/>
      <c r="C237" s="50"/>
      <c r="D237" s="50"/>
      <c r="E237" s="50"/>
      <c r="F237" s="89"/>
      <c r="G237" s="89"/>
      <c r="H237" s="89"/>
      <c r="I237" s="89"/>
      <c r="J237" s="89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5.75" customHeight="1">
      <c r="A238" s="3"/>
      <c r="B238" s="3"/>
      <c r="C238" s="50"/>
      <c r="D238" s="50"/>
      <c r="E238" s="50"/>
      <c r="F238" s="89"/>
      <c r="G238" s="89"/>
      <c r="H238" s="89"/>
      <c r="I238" s="89"/>
      <c r="J238" s="89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spans="1:25" ht="15.75" customHeight="1">
      <c r="A239" s="3"/>
      <c r="B239" s="3"/>
      <c r="C239" s="50"/>
      <c r="D239" s="50"/>
      <c r="E239" s="50"/>
      <c r="F239" s="89"/>
      <c r="G239" s="89"/>
      <c r="H239" s="89"/>
      <c r="I239" s="89"/>
      <c r="J239" s="89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spans="1:25" ht="15.75" customHeight="1">
      <c r="A240" s="3"/>
      <c r="B240" s="3"/>
      <c r="C240" s="50"/>
      <c r="D240" s="50"/>
      <c r="E240" s="50"/>
      <c r="F240" s="89"/>
      <c r="G240" s="89"/>
      <c r="H240" s="89"/>
      <c r="I240" s="89"/>
      <c r="J240" s="89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spans="1:25" ht="15.75" customHeight="1">
      <c r="A241" s="3"/>
      <c r="B241" s="3"/>
      <c r="C241" s="50"/>
      <c r="D241" s="50"/>
      <c r="E241" s="50"/>
      <c r="F241" s="89"/>
      <c r="G241" s="89"/>
      <c r="H241" s="89"/>
      <c r="I241" s="89"/>
      <c r="J241" s="89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spans="1:25" ht="15.75" customHeight="1">
      <c r="A242" s="3"/>
      <c r="B242" s="3"/>
      <c r="C242" s="50"/>
      <c r="D242" s="50"/>
      <c r="E242" s="50"/>
      <c r="F242" s="89"/>
      <c r="G242" s="89"/>
      <c r="H242" s="89"/>
      <c r="I242" s="89"/>
      <c r="J242" s="89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spans="1:25" ht="15.75" customHeight="1">
      <c r="A243" s="3"/>
      <c r="B243" s="3"/>
      <c r="C243" s="50"/>
      <c r="D243" s="50"/>
      <c r="E243" s="50"/>
      <c r="F243" s="89"/>
      <c r="G243" s="89"/>
      <c r="H243" s="89"/>
      <c r="I243" s="89"/>
      <c r="J243" s="89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spans="1:25" ht="15.75" customHeight="1">
      <c r="A244" s="3"/>
      <c r="B244" s="3"/>
      <c r="C244" s="50"/>
      <c r="D244" s="50"/>
      <c r="E244" s="50"/>
      <c r="F244" s="89"/>
      <c r="G244" s="89"/>
      <c r="H244" s="89"/>
      <c r="I244" s="89"/>
      <c r="J244" s="89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spans="1:25" ht="15.75" customHeight="1">
      <c r="A245" s="3"/>
      <c r="B245" s="3"/>
      <c r="C245" s="50"/>
      <c r="D245" s="50"/>
      <c r="E245" s="50"/>
      <c r="F245" s="89"/>
      <c r="G245" s="89"/>
      <c r="H245" s="89"/>
      <c r="I245" s="89"/>
      <c r="J245" s="89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spans="1:25" ht="15.75" customHeight="1">
      <c r="A246" s="3"/>
      <c r="B246" s="3"/>
      <c r="C246" s="50"/>
      <c r="D246" s="50"/>
      <c r="E246" s="50"/>
      <c r="F246" s="89"/>
      <c r="G246" s="89"/>
      <c r="H246" s="89"/>
      <c r="I246" s="89"/>
      <c r="J246" s="89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spans="1:25" ht="15.75" customHeight="1">
      <c r="A247" s="3"/>
      <c r="B247" s="3"/>
      <c r="C247" s="50"/>
      <c r="D247" s="50"/>
      <c r="E247" s="50"/>
      <c r="F247" s="89"/>
      <c r="G247" s="89"/>
      <c r="H247" s="89"/>
      <c r="I247" s="89"/>
      <c r="J247" s="89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spans="1:25" ht="15.75" customHeight="1">
      <c r="A248" s="3"/>
      <c r="B248" s="3"/>
      <c r="C248" s="50"/>
      <c r="D248" s="50"/>
      <c r="E248" s="50"/>
      <c r="F248" s="89"/>
      <c r="G248" s="89"/>
      <c r="H248" s="89"/>
      <c r="I248" s="89"/>
      <c r="J248" s="89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spans="1:25" ht="15.75" customHeight="1">
      <c r="A249" s="3"/>
      <c r="B249" s="3"/>
      <c r="C249" s="50"/>
      <c r="D249" s="50"/>
      <c r="E249" s="50"/>
      <c r="F249" s="89"/>
      <c r="G249" s="89"/>
      <c r="H249" s="89"/>
      <c r="I249" s="89"/>
      <c r="J249" s="89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spans="1:25" ht="15.75" customHeight="1">
      <c r="A250" s="3"/>
      <c r="B250" s="3"/>
      <c r="C250" s="50"/>
      <c r="D250" s="50"/>
      <c r="E250" s="50"/>
      <c r="F250" s="89"/>
      <c r="G250" s="89"/>
      <c r="H250" s="89"/>
      <c r="I250" s="89"/>
      <c r="J250" s="89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spans="1:25" ht="15.75" customHeight="1">
      <c r="A251" s="3"/>
      <c r="B251" s="3"/>
      <c r="C251" s="50"/>
      <c r="D251" s="50"/>
      <c r="E251" s="50"/>
      <c r="F251" s="89"/>
      <c r="G251" s="89"/>
      <c r="H251" s="89"/>
      <c r="I251" s="89"/>
      <c r="J251" s="89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spans="1:25" ht="15.75" customHeight="1">
      <c r="A252" s="3"/>
      <c r="B252" s="3"/>
      <c r="C252" s="50"/>
      <c r="D252" s="50"/>
      <c r="E252" s="50"/>
      <c r="F252" s="89"/>
      <c r="G252" s="89"/>
      <c r="H252" s="89"/>
      <c r="I252" s="89"/>
      <c r="J252" s="89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</row>
    <row r="253" spans="1:25" ht="15.75" customHeight="1">
      <c r="A253" s="3"/>
      <c r="B253" s="3"/>
      <c r="C253" s="50"/>
      <c r="D253" s="50"/>
      <c r="E253" s="50"/>
      <c r="F253" s="89"/>
      <c r="G253" s="89"/>
      <c r="H253" s="89"/>
      <c r="I253" s="89"/>
      <c r="J253" s="89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</row>
    <row r="254" spans="1:25" ht="15.75" customHeight="1">
      <c r="A254" s="3"/>
      <c r="B254" s="3"/>
      <c r="C254" s="50"/>
      <c r="D254" s="50"/>
      <c r="E254" s="50"/>
      <c r="F254" s="89"/>
      <c r="G254" s="89"/>
      <c r="H254" s="89"/>
      <c r="I254" s="89"/>
      <c r="J254" s="89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</row>
    <row r="255" spans="1:25" ht="15.75" customHeight="1">
      <c r="A255" s="3"/>
      <c r="B255" s="3"/>
      <c r="C255" s="50"/>
      <c r="D255" s="50"/>
      <c r="E255" s="50"/>
      <c r="F255" s="89"/>
      <c r="G255" s="89"/>
      <c r="H255" s="89"/>
      <c r="I255" s="89"/>
      <c r="J255" s="89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</row>
    <row r="256" spans="1:25" ht="15.75" customHeight="1">
      <c r="A256" s="3"/>
      <c r="B256" s="3"/>
      <c r="C256" s="50"/>
      <c r="D256" s="50"/>
      <c r="E256" s="50"/>
      <c r="F256" s="89"/>
      <c r="G256" s="89"/>
      <c r="H256" s="89"/>
      <c r="I256" s="89"/>
      <c r="J256" s="89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</row>
    <row r="257" spans="1:25" ht="15.75" customHeight="1">
      <c r="A257" s="3"/>
      <c r="B257" s="3"/>
      <c r="C257" s="50"/>
      <c r="D257" s="50"/>
      <c r="E257" s="50"/>
      <c r="F257" s="89"/>
      <c r="G257" s="89"/>
      <c r="H257" s="89"/>
      <c r="I257" s="89"/>
      <c r="J257" s="89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</row>
    <row r="258" spans="1:25" ht="15.75" customHeight="1">
      <c r="A258" s="3"/>
      <c r="B258" s="3"/>
      <c r="C258" s="50"/>
      <c r="D258" s="50"/>
      <c r="E258" s="50"/>
      <c r="F258" s="89"/>
      <c r="G258" s="89"/>
      <c r="H258" s="89"/>
      <c r="I258" s="89"/>
      <c r="J258" s="89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</row>
    <row r="259" spans="1:25" ht="15.75" customHeight="1">
      <c r="A259" s="3"/>
      <c r="B259" s="3"/>
      <c r="C259" s="50"/>
      <c r="D259" s="50"/>
      <c r="E259" s="50"/>
      <c r="F259" s="89"/>
      <c r="G259" s="89"/>
      <c r="H259" s="89"/>
      <c r="I259" s="89"/>
      <c r="J259" s="89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</row>
    <row r="260" spans="1:25" ht="15.75" customHeight="1">
      <c r="A260" s="3"/>
      <c r="B260" s="3"/>
      <c r="C260" s="50"/>
      <c r="D260" s="50"/>
      <c r="E260" s="50"/>
      <c r="F260" s="89"/>
      <c r="G260" s="89"/>
      <c r="H260" s="89"/>
      <c r="I260" s="89"/>
      <c r="J260" s="89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</row>
    <row r="261" spans="1:25" ht="15.75" customHeight="1">
      <c r="A261" s="3"/>
      <c r="B261" s="3"/>
      <c r="C261" s="50"/>
      <c r="D261" s="50"/>
      <c r="E261" s="50"/>
      <c r="F261" s="89"/>
      <c r="G261" s="89"/>
      <c r="H261" s="89"/>
      <c r="I261" s="89"/>
      <c r="J261" s="89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</row>
    <row r="262" spans="1:25" ht="15.75" customHeight="1">
      <c r="A262" s="3"/>
      <c r="B262" s="3"/>
      <c r="C262" s="50"/>
      <c r="D262" s="50"/>
      <c r="E262" s="50"/>
      <c r="F262" s="89"/>
      <c r="G262" s="89"/>
      <c r="H262" s="89"/>
      <c r="I262" s="89"/>
      <c r="J262" s="89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pans="1:25" ht="15.75" customHeight="1">
      <c r="A263" s="3"/>
      <c r="B263" s="3"/>
      <c r="C263" s="50"/>
      <c r="D263" s="50"/>
      <c r="E263" s="50"/>
      <c r="F263" s="89"/>
      <c r="G263" s="89"/>
      <c r="H263" s="89"/>
      <c r="I263" s="89"/>
      <c r="J263" s="89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pans="1:25" ht="15.75" customHeight="1">
      <c r="A264" s="3"/>
      <c r="B264" s="3"/>
      <c r="C264" s="50"/>
      <c r="D264" s="50"/>
      <c r="E264" s="50"/>
      <c r="F264" s="89"/>
      <c r="G264" s="89"/>
      <c r="H264" s="89"/>
      <c r="I264" s="89"/>
      <c r="J264" s="89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</row>
    <row r="265" spans="1:25" ht="15.75" customHeight="1">
      <c r="A265" s="3"/>
      <c r="B265" s="3"/>
      <c r="C265" s="50"/>
      <c r="D265" s="50"/>
      <c r="E265" s="50"/>
      <c r="F265" s="89"/>
      <c r="G265" s="89"/>
      <c r="H265" s="89"/>
      <c r="I265" s="89"/>
      <c r="J265" s="89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</row>
    <row r="266" spans="1:25" ht="15.75" customHeight="1">
      <c r="A266" s="3"/>
      <c r="B266" s="3"/>
      <c r="C266" s="50"/>
      <c r="D266" s="50"/>
      <c r="E266" s="50"/>
      <c r="F266" s="89"/>
      <c r="G266" s="89"/>
      <c r="H266" s="89"/>
      <c r="I266" s="89"/>
      <c r="J266" s="89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</row>
    <row r="267" spans="1:25" ht="15.75" customHeight="1">
      <c r="A267" s="3"/>
      <c r="B267" s="3"/>
      <c r="C267" s="50"/>
      <c r="D267" s="50"/>
      <c r="E267" s="50"/>
      <c r="F267" s="89"/>
      <c r="G267" s="89"/>
      <c r="H267" s="89"/>
      <c r="I267" s="89"/>
      <c r="J267" s="89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</row>
    <row r="268" spans="1:25" ht="15.75" customHeight="1">
      <c r="A268" s="3"/>
      <c r="B268" s="3"/>
      <c r="C268" s="50"/>
      <c r="D268" s="50"/>
      <c r="E268" s="50"/>
      <c r="F268" s="89"/>
      <c r="G268" s="89"/>
      <c r="H268" s="89"/>
      <c r="I268" s="89"/>
      <c r="J268" s="89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pans="1:25" ht="15.75" customHeight="1">
      <c r="A269" s="3"/>
      <c r="B269" s="3"/>
      <c r="C269" s="50"/>
      <c r="D269" s="50"/>
      <c r="E269" s="50"/>
      <c r="F269" s="89"/>
      <c r="G269" s="89"/>
      <c r="H269" s="89"/>
      <c r="I269" s="89"/>
      <c r="J269" s="89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5.75" customHeight="1">
      <c r="A270" s="3"/>
      <c r="B270" s="3"/>
      <c r="C270" s="50"/>
      <c r="D270" s="50"/>
      <c r="E270" s="50"/>
      <c r="F270" s="89"/>
      <c r="G270" s="89"/>
      <c r="H270" s="89"/>
      <c r="I270" s="89"/>
      <c r="J270" s="89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</row>
    <row r="271" spans="1:25" ht="15.75" customHeight="1">
      <c r="A271" s="3"/>
      <c r="B271" s="3"/>
      <c r="C271" s="50"/>
      <c r="D271" s="50"/>
      <c r="E271" s="50"/>
      <c r="F271" s="89"/>
      <c r="G271" s="89"/>
      <c r="H271" s="89"/>
      <c r="I271" s="89"/>
      <c r="J271" s="89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</row>
    <row r="272" spans="1:25" ht="15.75" customHeight="1">
      <c r="A272" s="3"/>
      <c r="B272" s="3"/>
      <c r="C272" s="50"/>
      <c r="D272" s="50"/>
      <c r="E272" s="50"/>
      <c r="F272" s="89"/>
      <c r="G272" s="89"/>
      <c r="H272" s="89"/>
      <c r="I272" s="89"/>
      <c r="J272" s="89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ht="15.75" customHeight="1">
      <c r="A273" s="3"/>
      <c r="B273" s="3"/>
      <c r="C273" s="50"/>
      <c r="D273" s="50"/>
      <c r="E273" s="50"/>
      <c r="F273" s="89"/>
      <c r="G273" s="89"/>
      <c r="H273" s="89"/>
      <c r="I273" s="89"/>
      <c r="J273" s="89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pans="1:25" ht="15.75" customHeight="1">
      <c r="A274" s="3"/>
      <c r="B274" s="3"/>
      <c r="C274" s="50"/>
      <c r="D274" s="50"/>
      <c r="E274" s="50"/>
      <c r="F274" s="89"/>
      <c r="G274" s="89"/>
      <c r="H274" s="89"/>
      <c r="I274" s="89"/>
      <c r="J274" s="89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</row>
    <row r="275" spans="1:25" ht="15.75" customHeight="1">
      <c r="A275" s="3"/>
      <c r="B275" s="3"/>
      <c r="C275" s="50"/>
      <c r="D275" s="50"/>
      <c r="E275" s="50"/>
      <c r="F275" s="89"/>
      <c r="G275" s="89"/>
      <c r="H275" s="89"/>
      <c r="I275" s="89"/>
      <c r="J275" s="89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</row>
    <row r="276" spans="1:25" ht="15.75" customHeight="1">
      <c r="A276" s="3"/>
      <c r="B276" s="3"/>
      <c r="C276" s="50"/>
      <c r="D276" s="50"/>
      <c r="E276" s="50"/>
      <c r="F276" s="89"/>
      <c r="G276" s="89"/>
      <c r="H276" s="89"/>
      <c r="I276" s="89"/>
      <c r="J276" s="89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</row>
    <row r="277" spans="1:25" ht="15.75" customHeight="1">
      <c r="A277" s="3"/>
      <c r="B277" s="3"/>
      <c r="C277" s="50"/>
      <c r="D277" s="50"/>
      <c r="E277" s="50"/>
      <c r="F277" s="89"/>
      <c r="G277" s="89"/>
      <c r="H277" s="89"/>
      <c r="I277" s="89"/>
      <c r="J277" s="89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</row>
    <row r="278" spans="1:25" ht="15.75" customHeight="1">
      <c r="A278" s="3"/>
      <c r="B278" s="3"/>
      <c r="C278" s="50"/>
      <c r="D278" s="50"/>
      <c r="E278" s="50"/>
      <c r="F278" s="89"/>
      <c r="G278" s="89"/>
      <c r="H278" s="89"/>
      <c r="I278" s="89"/>
      <c r="J278" s="89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</row>
    <row r="279" spans="1:25" ht="15.75" customHeight="1">
      <c r="A279" s="3"/>
      <c r="B279" s="3"/>
      <c r="C279" s="50"/>
      <c r="D279" s="50"/>
      <c r="E279" s="50"/>
      <c r="F279" s="89"/>
      <c r="G279" s="89"/>
      <c r="H279" s="89"/>
      <c r="I279" s="89"/>
      <c r="J279" s="89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</row>
    <row r="280" spans="1:25" ht="15.75" customHeight="1">
      <c r="A280" s="3"/>
      <c r="B280" s="3"/>
      <c r="C280" s="50"/>
      <c r="D280" s="50"/>
      <c r="E280" s="50"/>
      <c r="F280" s="89"/>
      <c r="G280" s="89"/>
      <c r="H280" s="89"/>
      <c r="I280" s="89"/>
      <c r="J280" s="89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</row>
    <row r="281" spans="1:25" ht="15.75" customHeight="1">
      <c r="A281" s="3"/>
      <c r="B281" s="3"/>
      <c r="C281" s="50"/>
      <c r="D281" s="50"/>
      <c r="E281" s="50"/>
      <c r="F281" s="89"/>
      <c r="G281" s="89"/>
      <c r="H281" s="89"/>
      <c r="I281" s="89"/>
      <c r="J281" s="89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</row>
    <row r="282" spans="1:25" ht="15.75" customHeight="1">
      <c r="A282" s="3"/>
      <c r="B282" s="3"/>
      <c r="C282" s="50"/>
      <c r="D282" s="50"/>
      <c r="E282" s="50"/>
      <c r="F282" s="89"/>
      <c r="G282" s="89"/>
      <c r="H282" s="89"/>
      <c r="I282" s="89"/>
      <c r="J282" s="89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</row>
    <row r="283" spans="1:25" ht="15.75" customHeight="1">
      <c r="A283" s="3"/>
      <c r="B283" s="3"/>
      <c r="C283" s="50"/>
      <c r="D283" s="50"/>
      <c r="E283" s="50"/>
      <c r="F283" s="89"/>
      <c r="G283" s="89"/>
      <c r="H283" s="89"/>
      <c r="I283" s="89"/>
      <c r="J283" s="89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</row>
    <row r="284" spans="1:25" ht="15.75" customHeight="1">
      <c r="A284" s="3"/>
      <c r="B284" s="3"/>
      <c r="C284" s="50"/>
      <c r="D284" s="50"/>
      <c r="E284" s="50"/>
      <c r="F284" s="89"/>
      <c r="G284" s="89"/>
      <c r="H284" s="89"/>
      <c r="I284" s="89"/>
      <c r="J284" s="89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</row>
    <row r="285" spans="1:25" ht="15.75" customHeight="1">
      <c r="A285" s="3"/>
      <c r="B285" s="3"/>
      <c r="C285" s="50"/>
      <c r="D285" s="50"/>
      <c r="E285" s="50"/>
      <c r="F285" s="89"/>
      <c r="G285" s="89"/>
      <c r="H285" s="89"/>
      <c r="I285" s="89"/>
      <c r="J285" s="89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</row>
    <row r="286" spans="1:25" ht="15.75" customHeight="1">
      <c r="A286" s="3"/>
      <c r="B286" s="3"/>
      <c r="C286" s="50"/>
      <c r="D286" s="50"/>
      <c r="E286" s="50"/>
      <c r="F286" s="89"/>
      <c r="G286" s="89"/>
      <c r="H286" s="89"/>
      <c r="I286" s="89"/>
      <c r="J286" s="89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</row>
    <row r="287" spans="1:25" ht="15.75" customHeight="1">
      <c r="A287" s="3"/>
      <c r="B287" s="3"/>
      <c r="C287" s="50"/>
      <c r="D287" s="50"/>
      <c r="E287" s="50"/>
      <c r="F287" s="89"/>
      <c r="G287" s="89"/>
      <c r="H287" s="89"/>
      <c r="I287" s="89"/>
      <c r="J287" s="89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</row>
    <row r="288" spans="1:25" ht="15.75" customHeight="1">
      <c r="A288" s="3"/>
      <c r="B288" s="3"/>
      <c r="C288" s="50"/>
      <c r="D288" s="50"/>
      <c r="E288" s="50"/>
      <c r="F288" s="89"/>
      <c r="G288" s="89"/>
      <c r="H288" s="89"/>
      <c r="I288" s="89"/>
      <c r="J288" s="89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</row>
    <row r="289" spans="1:25" ht="15.75" customHeight="1">
      <c r="A289" s="3"/>
      <c r="B289" s="3"/>
      <c r="C289" s="50"/>
      <c r="D289" s="50"/>
      <c r="E289" s="50"/>
      <c r="F289" s="89"/>
      <c r="G289" s="89"/>
      <c r="H289" s="89"/>
      <c r="I289" s="89"/>
      <c r="J289" s="89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</row>
    <row r="290" spans="1:25" ht="15.75" customHeight="1">
      <c r="A290" s="3"/>
      <c r="B290" s="3"/>
      <c r="C290" s="50"/>
      <c r="D290" s="50"/>
      <c r="E290" s="50"/>
      <c r="F290" s="89"/>
      <c r="G290" s="89"/>
      <c r="H290" s="89"/>
      <c r="I290" s="89"/>
      <c r="J290" s="89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5" ht="15.75" customHeight="1">
      <c r="A291" s="3"/>
      <c r="B291" s="3"/>
      <c r="C291" s="50"/>
      <c r="D291" s="50"/>
      <c r="E291" s="50"/>
      <c r="F291" s="89"/>
      <c r="G291" s="89"/>
      <c r="H291" s="89"/>
      <c r="I291" s="89"/>
      <c r="J291" s="89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5" ht="15.75" customHeight="1">
      <c r="A292" s="3"/>
      <c r="B292" s="3"/>
      <c r="C292" s="50"/>
      <c r="D292" s="50"/>
      <c r="E292" s="50"/>
      <c r="F292" s="89"/>
      <c r="G292" s="89"/>
      <c r="H292" s="89"/>
      <c r="I292" s="89"/>
      <c r="J292" s="89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5" ht="15.75" customHeight="1">
      <c r="A293" s="3"/>
      <c r="B293" s="3"/>
      <c r="C293" s="50"/>
      <c r="D293" s="50"/>
      <c r="E293" s="50"/>
      <c r="F293" s="89"/>
      <c r="G293" s="89"/>
      <c r="H293" s="89"/>
      <c r="I293" s="89"/>
      <c r="J293" s="89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</row>
    <row r="294" spans="1:25" ht="15.75" customHeight="1">
      <c r="A294" s="3"/>
      <c r="B294" s="3"/>
      <c r="C294" s="50"/>
      <c r="D294" s="50"/>
      <c r="E294" s="50"/>
      <c r="F294" s="89"/>
      <c r="G294" s="89"/>
      <c r="H294" s="89"/>
      <c r="I294" s="89"/>
      <c r="J294" s="89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</row>
    <row r="295" spans="1:25" ht="15.75" customHeight="1">
      <c r="A295" s="3"/>
      <c r="B295" s="3"/>
      <c r="C295" s="50"/>
      <c r="D295" s="50"/>
      <c r="E295" s="50"/>
      <c r="F295" s="89"/>
      <c r="G295" s="89"/>
      <c r="H295" s="89"/>
      <c r="I295" s="89"/>
      <c r="J295" s="89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pans="1:25" ht="15.75" customHeight="1"/>
    <row r="297" spans="1:25" ht="15.75" customHeight="1"/>
    <row r="298" spans="1:25" ht="15.75" customHeight="1"/>
    <row r="299" spans="1:25" ht="15.75" customHeight="1"/>
    <row r="300" spans="1:25" ht="15.75" customHeight="1"/>
    <row r="301" spans="1:25" ht="15.75" customHeight="1"/>
    <row r="302" spans="1:25" ht="15.75" customHeight="1"/>
    <row r="303" spans="1:25" ht="15.75" customHeight="1"/>
    <row r="304" spans="1:2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E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8D08D"/>
  </sheetPr>
  <dimension ref="A1:Z1000"/>
  <sheetViews>
    <sheetView workbookViewId="0"/>
  </sheetViews>
  <sheetFormatPr baseColWidth="10" defaultColWidth="14.453125" defaultRowHeight="15" customHeight="1"/>
  <cols>
    <col min="1" max="1" width="22.7265625" customWidth="1"/>
    <col min="2" max="2" width="16.81640625" customWidth="1"/>
    <col min="3" max="26" width="16.453125" customWidth="1"/>
  </cols>
  <sheetData>
    <row r="1" spans="1:26" ht="13.5" customHeight="1">
      <c r="B1" s="272"/>
      <c r="C1" s="272"/>
      <c r="D1" s="272"/>
      <c r="E1" s="272"/>
      <c r="F1" s="272"/>
    </row>
    <row r="2" spans="1:26" ht="13.5" customHeight="1">
      <c r="B2" s="272"/>
      <c r="C2" s="272"/>
      <c r="D2" s="272"/>
      <c r="E2" s="272"/>
      <c r="F2" s="272"/>
    </row>
    <row r="3" spans="1:26" ht="30" customHeight="1">
      <c r="A3" s="273" t="s">
        <v>294</v>
      </c>
      <c r="B3" s="274"/>
      <c r="C3" s="274"/>
      <c r="D3" s="274"/>
      <c r="E3" s="274"/>
      <c r="F3" s="274"/>
      <c r="H3" s="274" t="s">
        <v>295</v>
      </c>
      <c r="I3" s="274"/>
      <c r="J3" s="274"/>
      <c r="K3" s="274"/>
      <c r="L3" s="274"/>
      <c r="M3" s="274"/>
    </row>
    <row r="4" spans="1:26" ht="13.5" customHeight="1">
      <c r="A4" s="374"/>
      <c r="B4" s="376" t="s">
        <v>163</v>
      </c>
      <c r="C4" s="377"/>
      <c r="D4" s="377"/>
      <c r="E4" s="377"/>
      <c r="F4" s="378"/>
      <c r="H4" s="379"/>
      <c r="I4" s="376" t="s">
        <v>163</v>
      </c>
      <c r="J4" s="377"/>
      <c r="K4" s="377"/>
      <c r="L4" s="377"/>
      <c r="M4" s="378"/>
    </row>
    <row r="5" spans="1:26" ht="13.5" customHeight="1">
      <c r="A5" s="375"/>
      <c r="B5" s="275">
        <v>2020</v>
      </c>
      <c r="C5" s="275">
        <v>2021</v>
      </c>
      <c r="D5" s="275">
        <v>2022</v>
      </c>
      <c r="E5" s="275">
        <v>2023</v>
      </c>
      <c r="F5" s="275">
        <v>2024</v>
      </c>
      <c r="G5" s="276"/>
      <c r="H5" s="375"/>
      <c r="I5" s="275">
        <v>2020</v>
      </c>
      <c r="J5" s="275">
        <v>2021</v>
      </c>
      <c r="K5" s="275">
        <v>2022</v>
      </c>
      <c r="L5" s="275">
        <v>2023</v>
      </c>
      <c r="M5" s="275">
        <v>2024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</row>
    <row r="6" spans="1:26" ht="13.5" customHeight="1">
      <c r="A6" s="273" t="s">
        <v>296</v>
      </c>
      <c r="B6" s="277">
        <f>OPEX!F23</f>
        <v>78475000</v>
      </c>
      <c r="C6" s="277">
        <f>OPEX!G23</f>
        <v>86158250</v>
      </c>
      <c r="D6" s="277">
        <f>OPEX!H23</f>
        <v>94769147.5</v>
      </c>
      <c r="E6" s="277">
        <f>OPEX!I23</f>
        <v>104429874.425</v>
      </c>
      <c r="F6" s="277">
        <f>OPEX!J23</f>
        <v>115279409.03275001</v>
      </c>
      <c r="G6" s="278" t="e">
        <f>#REF!</f>
        <v>#REF!</v>
      </c>
      <c r="H6" s="274" t="s">
        <v>297</v>
      </c>
      <c r="I6" s="279">
        <v>0</v>
      </c>
      <c r="J6" s="279">
        <f t="shared" ref="J6:M6" si="0">+(C6-B6)/B6</f>
        <v>9.7906976744186053E-2</v>
      </c>
      <c r="K6" s="279">
        <f t="shared" si="0"/>
        <v>9.9942808726964621E-2</v>
      </c>
      <c r="L6" s="279">
        <f t="shared" si="0"/>
        <v>0.10193957822613101</v>
      </c>
      <c r="M6" s="279">
        <f t="shared" si="0"/>
        <v>0.10389301593522446</v>
      </c>
    </row>
    <row r="7" spans="1:26" ht="13.5" customHeight="1">
      <c r="A7" s="273" t="s">
        <v>298</v>
      </c>
      <c r="B7" s="277">
        <f>+OPEX!F52</f>
        <v>20005400</v>
      </c>
      <c r="C7" s="277">
        <f>+OPEX!G52</f>
        <v>27181650</v>
      </c>
      <c r="D7" s="277">
        <f>+OPEX!H52</f>
        <v>35275737.5</v>
      </c>
      <c r="E7" s="277">
        <f>+OPEX!I52</f>
        <v>44409634.125</v>
      </c>
      <c r="F7" s="277">
        <f>+OPEX!J52</f>
        <v>54722102.963750012</v>
      </c>
      <c r="H7" s="274" t="s">
        <v>299</v>
      </c>
      <c r="I7" s="279">
        <v>0</v>
      </c>
      <c r="J7" s="279">
        <f t="shared" ref="J7:M7" si="1">+(C7-B7)/B7</f>
        <v>0.35871564677537066</v>
      </c>
      <c r="K7" s="279">
        <f t="shared" si="1"/>
        <v>0.29777763675126417</v>
      </c>
      <c r="L7" s="279">
        <f t="shared" si="1"/>
        <v>0.25892858016079751</v>
      </c>
      <c r="M7" s="279">
        <f t="shared" si="1"/>
        <v>0.23221242511756479</v>
      </c>
    </row>
    <row r="8" spans="1:26" ht="13.5" customHeight="1">
      <c r="A8" s="273" t="s">
        <v>202</v>
      </c>
      <c r="B8" s="277">
        <f>+OPEX!F54</f>
        <v>13856750.476314455</v>
      </c>
      <c r="C8" s="277">
        <f>+OPEX!G54</f>
        <v>20476431.273295514</v>
      </c>
      <c r="D8" s="277">
        <f>+OPEX!H54</f>
        <v>27897093.303781204</v>
      </c>
      <c r="E8" s="277">
        <f>+OPEX!I54</f>
        <v>36215401.324667297</v>
      </c>
      <c r="F8" s="277">
        <f>+OPEX!J54</f>
        <v>45622131.559727415</v>
      </c>
      <c r="G8" s="90"/>
      <c r="H8" s="274" t="s">
        <v>300</v>
      </c>
      <c r="I8" s="279">
        <v>0</v>
      </c>
      <c r="J8" s="279">
        <f t="shared" ref="J8:M8" si="2">+(C8-B8)/B8</f>
        <v>0.47772245075035275</v>
      </c>
      <c r="K8" s="279">
        <f t="shared" si="2"/>
        <v>0.36240016296997024</v>
      </c>
      <c r="L8" s="279">
        <f t="shared" si="2"/>
        <v>0.29817830590108901</v>
      </c>
      <c r="M8" s="279">
        <f t="shared" si="2"/>
        <v>0.2597439180841809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3.5" customHeight="1">
      <c r="A9" s="273" t="s">
        <v>206</v>
      </c>
      <c r="B9" s="277">
        <f>+OPEX!F56</f>
        <v>9699725.3334201183</v>
      </c>
      <c r="C9" s="277">
        <f>+OPEX!G56</f>
        <v>14333501.89130686</v>
      </c>
      <c r="D9" s="277">
        <f>+OPEX!H56</f>
        <v>19527965.312646843</v>
      </c>
      <c r="E9" s="277">
        <f>+OPEX!I56</f>
        <v>25350780.927267108</v>
      </c>
      <c r="F9" s="277">
        <f>+OPEX!J56</f>
        <v>31935492.091809191</v>
      </c>
      <c r="H9" s="274" t="s">
        <v>301</v>
      </c>
      <c r="I9" s="279">
        <v>0</v>
      </c>
      <c r="J9" s="279">
        <f t="shared" ref="J9:M9" si="3">+(C9-B9)/B9</f>
        <v>0.4777224507503528</v>
      </c>
      <c r="K9" s="279">
        <f t="shared" si="3"/>
        <v>0.36240016296997024</v>
      </c>
      <c r="L9" s="279">
        <f t="shared" si="3"/>
        <v>0.29817830590108896</v>
      </c>
      <c r="M9" s="279">
        <f t="shared" si="3"/>
        <v>0.2597439180841809</v>
      </c>
    </row>
    <row r="10" spans="1:26" ht="13.5" customHeight="1">
      <c r="B10" s="272"/>
      <c r="C10" s="272"/>
      <c r="D10" s="272"/>
      <c r="E10" s="272"/>
      <c r="F10" s="272"/>
    </row>
    <row r="11" spans="1:26" ht="13.5" customHeight="1">
      <c r="B11" s="272"/>
      <c r="C11" s="272"/>
      <c r="D11" s="272"/>
      <c r="E11" s="272"/>
      <c r="F11" s="272"/>
    </row>
    <row r="12" spans="1:26" ht="13.5" customHeight="1">
      <c r="A12" s="273"/>
      <c r="B12" s="376" t="s">
        <v>163</v>
      </c>
      <c r="C12" s="377"/>
      <c r="D12" s="377"/>
      <c r="E12" s="377"/>
      <c r="F12" s="378"/>
    </row>
    <row r="13" spans="1:26" ht="13.5" customHeight="1">
      <c r="A13" s="280"/>
      <c r="B13" s="275">
        <v>2020</v>
      </c>
      <c r="C13" s="275">
        <v>2021</v>
      </c>
      <c r="D13" s="275">
        <v>2022</v>
      </c>
      <c r="E13" s="275">
        <v>2023</v>
      </c>
      <c r="F13" s="275">
        <v>2024</v>
      </c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</row>
    <row r="14" spans="1:26" ht="13.5" customHeight="1">
      <c r="A14" s="273" t="s">
        <v>302</v>
      </c>
      <c r="B14" s="277">
        <f>OPEX!F7</f>
        <v>15</v>
      </c>
      <c r="C14" s="277">
        <f>OPEX!G7</f>
        <v>16.329999999999998</v>
      </c>
      <c r="D14" s="277">
        <f>OPEX!H7</f>
        <v>17.817900000000002</v>
      </c>
      <c r="E14" s="277">
        <f>OPEX!I7</f>
        <v>19.484737000000003</v>
      </c>
      <c r="F14" s="277">
        <f>OPEX!J7</f>
        <v>21.354484110000001</v>
      </c>
    </row>
    <row r="15" spans="1:26" ht="13.5" customHeight="1">
      <c r="B15" s="272"/>
      <c r="C15" s="272"/>
      <c r="D15" s="272"/>
      <c r="E15" s="272"/>
      <c r="F15" s="272"/>
    </row>
    <row r="16" spans="1:26" ht="13.5" customHeight="1">
      <c r="B16" s="272"/>
      <c r="C16" s="272"/>
      <c r="D16" s="272"/>
      <c r="E16" s="272"/>
      <c r="F16" s="272"/>
    </row>
    <row r="17" spans="1:26" ht="13.5" customHeight="1">
      <c r="A17" s="273" t="s">
        <v>303</v>
      </c>
      <c r="B17" s="274"/>
      <c r="C17" s="274"/>
      <c r="D17" s="274"/>
      <c r="E17" s="274"/>
      <c r="F17" s="274"/>
    </row>
    <row r="18" spans="1:26" ht="13.5" customHeight="1">
      <c r="A18" s="374" t="s">
        <v>163</v>
      </c>
      <c r="B18" s="376" t="s">
        <v>163</v>
      </c>
      <c r="C18" s="377"/>
      <c r="D18" s="377"/>
      <c r="E18" s="377"/>
      <c r="F18" s="378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3.5" customHeight="1">
      <c r="A19" s="375"/>
      <c r="B19" s="275">
        <v>2020</v>
      </c>
      <c r="C19" s="275">
        <v>2021</v>
      </c>
      <c r="D19" s="275">
        <v>2022</v>
      </c>
      <c r="E19" s="275">
        <v>2023</v>
      </c>
      <c r="F19" s="275">
        <v>2024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</row>
    <row r="20" spans="1:26" ht="13.5" customHeight="1">
      <c r="A20" s="273" t="s">
        <v>304</v>
      </c>
      <c r="B20" s="277">
        <f>Cashflow!F10</f>
        <v>13929725.333420118</v>
      </c>
      <c r="C20" s="277">
        <f>Cashflow!G10</f>
        <v>18563501.891306862</v>
      </c>
      <c r="D20" s="277">
        <f>Cashflow!H10</f>
        <v>23757965.312646843</v>
      </c>
      <c r="E20" s="277">
        <f>Cashflow!I10</f>
        <v>29580780.927267108</v>
      </c>
      <c r="F20" s="277">
        <f>Cashflow!J10</f>
        <v>31935492.091809191</v>
      </c>
    </row>
    <row r="21" spans="1:26" ht="13.5" customHeight="1">
      <c r="A21" s="273" t="s">
        <v>305</v>
      </c>
      <c r="B21" s="277">
        <f>Cashflow!F14</f>
        <v>53229725.33342012</v>
      </c>
      <c r="C21" s="277">
        <f>Cashflow!G14</f>
        <v>18563501.891306862</v>
      </c>
      <c r="D21" s="277">
        <f>Cashflow!H14</f>
        <v>23757965.312646843</v>
      </c>
      <c r="E21" s="277">
        <f>Cashflow!I14</f>
        <v>29580780.927267108</v>
      </c>
      <c r="F21" s="277">
        <f>Cashflow!J14</f>
        <v>31935492.091809191</v>
      </c>
    </row>
    <row r="22" spans="1:26" ht="13.5" customHeight="1">
      <c r="A22" s="273" t="s">
        <v>306</v>
      </c>
      <c r="B22" s="277">
        <f>Cashflow!F20</f>
        <v>50040681.442235015</v>
      </c>
      <c r="C22" s="277">
        <f>Cashflow!G20</f>
        <v>10740681.442235017</v>
      </c>
      <c r="D22" s="277">
        <f>Cashflow!H20</f>
        <v>9627323.1167529505</v>
      </c>
      <c r="E22" s="277">
        <f>Cashflow!I20</f>
        <v>9627323.1167529523</v>
      </c>
      <c r="F22" s="277">
        <f>Cashflow!J20</f>
        <v>9627323.1167529505</v>
      </c>
    </row>
    <row r="23" spans="1:26" ht="13.5" customHeight="1">
      <c r="A23" s="273" t="s">
        <v>307</v>
      </c>
      <c r="B23" s="277">
        <f>Cashflow!F22</f>
        <v>3189043.8911851048</v>
      </c>
      <c r="C23" s="277">
        <f>Cashflow!G22</f>
        <v>7822820.449071845</v>
      </c>
      <c r="D23" s="277">
        <f>Cashflow!H22</f>
        <v>14130642.195893893</v>
      </c>
      <c r="E23" s="277">
        <f>Cashflow!I22</f>
        <v>19953457.810514156</v>
      </c>
      <c r="F23" s="277">
        <f>Cashflow!J22</f>
        <v>22308168.975056238</v>
      </c>
    </row>
    <row r="24" spans="1:26" ht="13.5" customHeight="1">
      <c r="A24" s="273" t="s">
        <v>308</v>
      </c>
      <c r="B24" s="277">
        <f>Cashflow!F24</f>
        <v>3189043.8911851048</v>
      </c>
      <c r="C24" s="277">
        <f>Cashflow!G24</f>
        <v>11011864.34025695</v>
      </c>
      <c r="D24" s="277">
        <f>Cashflow!H24</f>
        <v>25142506.536150843</v>
      </c>
      <c r="E24" s="277">
        <f>Cashflow!I24</f>
        <v>45095964.346664995</v>
      </c>
      <c r="F24" s="277">
        <f>Cashflow!J24</f>
        <v>67404133.321721226</v>
      </c>
    </row>
    <row r="25" spans="1:26" ht="13.5" customHeight="1">
      <c r="B25" s="272"/>
      <c r="C25" s="272"/>
      <c r="D25" s="272"/>
      <c r="E25" s="272"/>
      <c r="F25" s="272"/>
    </row>
    <row r="26" spans="1:26" ht="13.5" customHeight="1">
      <c r="B26" s="272"/>
      <c r="C26" s="272"/>
      <c r="D26" s="272"/>
      <c r="E26" s="272"/>
      <c r="F26" s="272"/>
    </row>
    <row r="27" spans="1:26" ht="13.5" customHeight="1">
      <c r="B27" s="272"/>
      <c r="C27" s="272"/>
      <c r="D27" s="272"/>
      <c r="E27" s="272"/>
      <c r="F27" s="272"/>
    </row>
    <row r="28" spans="1:26" ht="13.5" customHeight="1">
      <c r="B28" s="272"/>
      <c r="C28" s="272"/>
      <c r="D28" s="272"/>
      <c r="E28" s="272"/>
      <c r="F28" s="272"/>
    </row>
    <row r="29" spans="1:26" ht="13.5" customHeight="1">
      <c r="B29" s="272"/>
      <c r="C29" s="272"/>
      <c r="D29" s="272"/>
      <c r="E29" s="272"/>
      <c r="F29" s="272"/>
    </row>
    <row r="30" spans="1:26" ht="13.5" customHeight="1">
      <c r="B30" s="272"/>
      <c r="C30" s="272"/>
      <c r="D30" s="272"/>
      <c r="E30" s="272"/>
      <c r="F30" s="272"/>
    </row>
    <row r="31" spans="1:26" ht="13.5" customHeight="1">
      <c r="A31" s="281"/>
      <c r="B31" s="282"/>
      <c r="C31" s="282"/>
      <c r="D31" s="282"/>
      <c r="E31" s="282"/>
      <c r="F31" s="282"/>
      <c r="G31" s="281"/>
      <c r="H31" s="281"/>
      <c r="I31" s="281"/>
      <c r="J31" s="281"/>
      <c r="K31" s="281"/>
    </row>
    <row r="32" spans="1:26" ht="13.5" customHeight="1">
      <c r="B32" s="272"/>
      <c r="C32" s="272"/>
      <c r="D32" s="272"/>
      <c r="E32" s="272"/>
      <c r="F32" s="272"/>
      <c r="K32" s="281"/>
    </row>
    <row r="33" spans="1:11" ht="13.5" customHeight="1">
      <c r="B33" s="272"/>
      <c r="C33" s="272"/>
      <c r="D33" s="272"/>
      <c r="E33" s="272"/>
      <c r="F33" s="272"/>
      <c r="K33" s="281"/>
    </row>
    <row r="34" spans="1:11" ht="13.5" customHeight="1">
      <c r="B34" s="272"/>
      <c r="C34" s="272"/>
      <c r="D34" s="272"/>
      <c r="E34" s="272"/>
      <c r="F34" s="272"/>
      <c r="K34" s="281"/>
    </row>
    <row r="35" spans="1:11" ht="13.5" customHeight="1">
      <c r="B35" s="272"/>
      <c r="C35" s="272"/>
      <c r="D35" s="272"/>
      <c r="E35" s="272"/>
      <c r="F35" s="272"/>
      <c r="K35" s="281"/>
    </row>
    <row r="36" spans="1:11" ht="13.5" customHeight="1">
      <c r="B36" s="272"/>
      <c r="C36" s="272"/>
      <c r="D36" s="272"/>
      <c r="E36" s="272"/>
      <c r="F36" s="272"/>
      <c r="K36" s="281"/>
    </row>
    <row r="37" spans="1:11" ht="13.5" customHeight="1">
      <c r="B37" s="272"/>
      <c r="C37" s="272"/>
      <c r="D37" s="272"/>
      <c r="E37" s="272"/>
      <c r="F37" s="272"/>
      <c r="K37" s="281"/>
    </row>
    <row r="38" spans="1:11" ht="13.5" customHeight="1">
      <c r="B38" s="272"/>
      <c r="C38" s="272"/>
      <c r="D38" s="272"/>
      <c r="E38" s="272"/>
      <c r="F38" s="272"/>
      <c r="K38" s="281"/>
    </row>
    <row r="39" spans="1:11" ht="13.5" customHeight="1">
      <c r="B39" s="272"/>
      <c r="C39" s="272"/>
      <c r="D39" s="272"/>
      <c r="E39" s="272"/>
      <c r="F39" s="272"/>
      <c r="K39" s="281"/>
    </row>
    <row r="40" spans="1:11" ht="13.5" customHeight="1">
      <c r="B40" s="272"/>
      <c r="C40" s="272"/>
      <c r="D40" s="272"/>
      <c r="E40" s="272"/>
      <c r="F40" s="272"/>
      <c r="K40" s="281"/>
    </row>
    <row r="41" spans="1:11" ht="13.5" customHeight="1">
      <c r="B41" s="272"/>
      <c r="C41" s="272"/>
      <c r="D41" s="272"/>
      <c r="E41" s="272"/>
      <c r="F41" s="272"/>
      <c r="K41" s="281"/>
    </row>
    <row r="42" spans="1:11" ht="13.5" customHeight="1">
      <c r="B42" s="272"/>
      <c r="C42" s="272"/>
      <c r="D42" s="272"/>
      <c r="E42" s="272"/>
      <c r="F42" s="272"/>
      <c r="K42" s="281"/>
    </row>
    <row r="43" spans="1:11" ht="13.5" customHeight="1">
      <c r="B43" s="272"/>
      <c r="C43" s="272"/>
      <c r="D43" s="272"/>
      <c r="E43" s="272"/>
      <c r="F43" s="272"/>
      <c r="K43" s="281"/>
    </row>
    <row r="44" spans="1:11" ht="13.5" customHeight="1">
      <c r="B44" s="272"/>
      <c r="C44" s="272"/>
      <c r="D44" s="272"/>
      <c r="E44" s="272"/>
      <c r="F44" s="272"/>
      <c r="K44" s="281"/>
    </row>
    <row r="45" spans="1:11" ht="13.5" customHeight="1">
      <c r="B45" s="272"/>
      <c r="C45" s="272"/>
      <c r="D45" s="272"/>
      <c r="E45" s="272"/>
      <c r="F45" s="272"/>
      <c r="K45" s="281"/>
    </row>
    <row r="46" spans="1:11" ht="13.5" customHeight="1">
      <c r="B46" s="272"/>
      <c r="C46" s="272"/>
      <c r="D46" s="272"/>
      <c r="E46" s="272"/>
      <c r="F46" s="272"/>
      <c r="K46" s="281"/>
    </row>
    <row r="47" spans="1:11" ht="13.5" customHeight="1">
      <c r="A47" s="281"/>
      <c r="B47" s="282"/>
      <c r="C47" s="282"/>
      <c r="D47" s="282"/>
      <c r="E47" s="282"/>
      <c r="F47" s="282"/>
      <c r="G47" s="281"/>
      <c r="H47" s="281"/>
      <c r="I47" s="281"/>
      <c r="J47" s="281"/>
      <c r="K47" s="281"/>
    </row>
    <row r="48" spans="1:11" ht="13.5" customHeight="1">
      <c r="B48" s="272"/>
      <c r="C48" s="272"/>
      <c r="D48" s="272"/>
      <c r="E48" s="272"/>
      <c r="F48" s="272"/>
      <c r="K48" s="281"/>
    </row>
    <row r="49" spans="1:11" ht="13.5" customHeight="1">
      <c r="B49" s="272"/>
      <c r="C49" s="272"/>
      <c r="D49" s="272"/>
      <c r="E49" s="272"/>
      <c r="F49" s="272"/>
      <c r="K49" s="281"/>
    </row>
    <row r="50" spans="1:11" ht="13.5" customHeight="1">
      <c r="B50" s="272"/>
      <c r="C50" s="272"/>
      <c r="D50" s="272"/>
      <c r="E50" s="272"/>
      <c r="F50" s="272"/>
      <c r="K50" s="281"/>
    </row>
    <row r="51" spans="1:11" ht="13.5" customHeight="1">
      <c r="B51" s="272"/>
      <c r="C51" s="272"/>
      <c r="D51" s="272"/>
      <c r="E51" s="272"/>
      <c r="F51" s="272"/>
      <c r="K51" s="281"/>
    </row>
    <row r="52" spans="1:11" ht="13.5" customHeight="1">
      <c r="B52" s="272"/>
      <c r="C52" s="272"/>
      <c r="D52" s="272"/>
      <c r="E52" s="272"/>
      <c r="F52" s="272"/>
      <c r="K52" s="281"/>
    </row>
    <row r="53" spans="1:11" ht="13.5" customHeight="1">
      <c r="B53" s="272"/>
      <c r="C53" s="272"/>
      <c r="D53" s="272"/>
      <c r="E53" s="272"/>
      <c r="F53" s="272"/>
      <c r="K53" s="281"/>
    </row>
    <row r="54" spans="1:11" ht="13.5" customHeight="1">
      <c r="B54" s="272"/>
      <c r="C54" s="272"/>
      <c r="D54" s="272"/>
      <c r="E54" s="272"/>
      <c r="F54" s="272"/>
      <c r="K54" s="281"/>
    </row>
    <row r="55" spans="1:11" ht="13.5" customHeight="1">
      <c r="B55" s="272"/>
      <c r="C55" s="272"/>
      <c r="D55" s="272"/>
      <c r="E55" s="272"/>
      <c r="F55" s="272"/>
      <c r="K55" s="281"/>
    </row>
    <row r="56" spans="1:11" ht="13.5" customHeight="1">
      <c r="B56" s="272"/>
      <c r="C56" s="272"/>
      <c r="D56" s="272"/>
      <c r="E56" s="272"/>
      <c r="F56" s="272"/>
      <c r="K56" s="281"/>
    </row>
    <row r="57" spans="1:11" ht="13.5" customHeight="1">
      <c r="B57" s="272"/>
      <c r="C57" s="272"/>
      <c r="D57" s="272"/>
      <c r="E57" s="272"/>
      <c r="F57" s="272"/>
      <c r="K57" s="281"/>
    </row>
    <row r="58" spans="1:11" ht="13.5" customHeight="1">
      <c r="B58" s="272"/>
      <c r="C58" s="272"/>
      <c r="D58" s="272"/>
      <c r="E58" s="272"/>
      <c r="F58" s="272"/>
      <c r="K58" s="281"/>
    </row>
    <row r="59" spans="1:11" ht="13.5" customHeight="1">
      <c r="B59" s="272"/>
      <c r="C59" s="272"/>
      <c r="D59" s="272"/>
      <c r="E59" s="272"/>
      <c r="F59" s="272"/>
      <c r="K59" s="281"/>
    </row>
    <row r="60" spans="1:11" ht="13.5" customHeight="1">
      <c r="B60" s="272"/>
      <c r="C60" s="272"/>
      <c r="D60" s="272"/>
      <c r="E60" s="272"/>
      <c r="F60" s="272"/>
      <c r="K60" s="281"/>
    </row>
    <row r="61" spans="1:11" ht="13.5" customHeight="1">
      <c r="B61" s="272"/>
      <c r="C61" s="272"/>
      <c r="D61" s="272"/>
      <c r="E61" s="272"/>
      <c r="F61" s="272"/>
      <c r="K61" s="281"/>
    </row>
    <row r="62" spans="1:11" ht="13.5" customHeight="1">
      <c r="B62" s="272"/>
      <c r="C62" s="272"/>
      <c r="D62" s="272"/>
      <c r="E62" s="272"/>
      <c r="F62" s="272"/>
      <c r="K62" s="281"/>
    </row>
    <row r="63" spans="1:11" ht="13.5" customHeight="1">
      <c r="A63" s="281"/>
      <c r="B63" s="282"/>
      <c r="C63" s="282"/>
      <c r="D63" s="282"/>
      <c r="E63" s="282"/>
      <c r="F63" s="282"/>
      <c r="G63" s="281"/>
      <c r="H63" s="281"/>
      <c r="I63" s="281"/>
      <c r="J63" s="281"/>
      <c r="K63" s="281"/>
    </row>
    <row r="64" spans="1:11" ht="13.5" customHeight="1">
      <c r="A64" s="281"/>
      <c r="B64" s="282"/>
      <c r="C64" s="282"/>
      <c r="D64" s="282"/>
      <c r="E64" s="282"/>
      <c r="F64" s="282"/>
      <c r="G64" s="281"/>
      <c r="H64" s="281"/>
      <c r="I64" s="281"/>
      <c r="J64" s="281"/>
      <c r="K64" s="281"/>
    </row>
    <row r="65" spans="2:6" ht="13.5" customHeight="1">
      <c r="B65" s="272"/>
      <c r="C65" s="272"/>
      <c r="D65" s="272"/>
      <c r="E65" s="272"/>
      <c r="F65" s="272"/>
    </row>
    <row r="66" spans="2:6" ht="13.5" customHeight="1">
      <c r="B66" s="272"/>
      <c r="C66" s="272"/>
      <c r="D66" s="272"/>
      <c r="E66" s="272"/>
      <c r="F66" s="272"/>
    </row>
    <row r="67" spans="2:6" ht="13.5" customHeight="1">
      <c r="B67" s="272"/>
      <c r="C67" s="272"/>
      <c r="D67" s="272"/>
      <c r="E67" s="272"/>
      <c r="F67" s="272"/>
    </row>
    <row r="68" spans="2:6" ht="13.5" customHeight="1">
      <c r="B68" s="272"/>
      <c r="C68" s="272"/>
      <c r="D68" s="272"/>
      <c r="E68" s="272"/>
      <c r="F68" s="272"/>
    </row>
    <row r="69" spans="2:6" ht="13.5" customHeight="1">
      <c r="B69" s="272"/>
      <c r="C69" s="272"/>
      <c r="D69" s="272"/>
      <c r="E69" s="272"/>
      <c r="F69" s="272"/>
    </row>
    <row r="70" spans="2:6" ht="13.5" customHeight="1">
      <c r="B70" s="272"/>
      <c r="C70" s="272"/>
      <c r="D70" s="272"/>
      <c r="E70" s="272"/>
      <c r="F70" s="272"/>
    </row>
    <row r="71" spans="2:6" ht="13.5" customHeight="1">
      <c r="B71" s="272"/>
      <c r="C71" s="272"/>
      <c r="D71" s="272"/>
      <c r="E71" s="272"/>
      <c r="F71" s="272"/>
    </row>
    <row r="72" spans="2:6" ht="13.5" customHeight="1">
      <c r="B72" s="272"/>
      <c r="C72" s="272"/>
      <c r="D72" s="272"/>
      <c r="E72" s="272"/>
      <c r="F72" s="272"/>
    </row>
    <row r="73" spans="2:6" ht="13.5" customHeight="1">
      <c r="B73" s="272"/>
      <c r="C73" s="272"/>
      <c r="D73" s="272"/>
      <c r="E73" s="272"/>
      <c r="F73" s="272"/>
    </row>
    <row r="74" spans="2:6" ht="13.5" customHeight="1">
      <c r="B74" s="272"/>
      <c r="C74" s="272"/>
      <c r="D74" s="272"/>
      <c r="E74" s="272"/>
      <c r="F74" s="272"/>
    </row>
    <row r="75" spans="2:6" ht="13.5" customHeight="1">
      <c r="B75" s="272"/>
      <c r="C75" s="272"/>
      <c r="D75" s="272"/>
      <c r="E75" s="272"/>
      <c r="F75" s="272"/>
    </row>
    <row r="76" spans="2:6" ht="13.5" customHeight="1">
      <c r="B76" s="272"/>
      <c r="C76" s="272"/>
      <c r="D76" s="272"/>
      <c r="E76" s="272"/>
      <c r="F76" s="272"/>
    </row>
    <row r="77" spans="2:6" ht="13.5" customHeight="1">
      <c r="B77" s="272"/>
      <c r="C77" s="272"/>
      <c r="D77" s="272"/>
      <c r="E77" s="272"/>
      <c r="F77" s="272"/>
    </row>
    <row r="78" spans="2:6" ht="13.5" customHeight="1">
      <c r="B78" s="272"/>
      <c r="C78" s="272"/>
      <c r="D78" s="272"/>
      <c r="E78" s="272"/>
      <c r="F78" s="272"/>
    </row>
    <row r="79" spans="2:6" ht="13.5" customHeight="1">
      <c r="B79" s="272"/>
      <c r="C79" s="272"/>
      <c r="D79" s="272"/>
      <c r="E79" s="272"/>
      <c r="F79" s="272"/>
    </row>
    <row r="80" spans="2:6" ht="13.5" customHeight="1">
      <c r="B80" s="272"/>
      <c r="C80" s="272"/>
      <c r="D80" s="272"/>
      <c r="E80" s="272"/>
      <c r="F80" s="272"/>
    </row>
    <row r="81" spans="2:6" ht="13.5" customHeight="1">
      <c r="B81" s="272"/>
      <c r="C81" s="272"/>
      <c r="D81" s="272"/>
      <c r="E81" s="272"/>
      <c r="F81" s="272"/>
    </row>
    <row r="82" spans="2:6" ht="13.5" customHeight="1">
      <c r="B82" s="272"/>
      <c r="C82" s="272"/>
      <c r="D82" s="272"/>
      <c r="E82" s="272"/>
      <c r="F82" s="272"/>
    </row>
    <row r="83" spans="2:6" ht="13.5" customHeight="1">
      <c r="B83" s="272"/>
      <c r="C83" s="272"/>
      <c r="D83" s="272"/>
      <c r="E83" s="272"/>
      <c r="F83" s="272"/>
    </row>
    <row r="84" spans="2:6" ht="13.5" customHeight="1">
      <c r="B84" s="272"/>
      <c r="C84" s="272"/>
      <c r="D84" s="272"/>
      <c r="E84" s="272"/>
      <c r="F84" s="272"/>
    </row>
    <row r="85" spans="2:6" ht="13.5" customHeight="1">
      <c r="B85" s="272"/>
      <c r="C85" s="272"/>
      <c r="D85" s="272"/>
      <c r="E85" s="272"/>
      <c r="F85" s="272"/>
    </row>
    <row r="86" spans="2:6" ht="13.5" customHeight="1">
      <c r="B86" s="272"/>
      <c r="C86" s="272"/>
      <c r="D86" s="272"/>
      <c r="E86" s="272"/>
      <c r="F86" s="272"/>
    </row>
    <row r="87" spans="2:6" ht="13.5" customHeight="1">
      <c r="B87" s="272"/>
      <c r="C87" s="272"/>
      <c r="D87" s="272"/>
      <c r="E87" s="272"/>
      <c r="F87" s="272"/>
    </row>
    <row r="88" spans="2:6" ht="13.5" customHeight="1">
      <c r="B88" s="272"/>
      <c r="C88" s="272"/>
      <c r="D88" s="272"/>
      <c r="E88" s="272"/>
      <c r="F88" s="272"/>
    </row>
    <row r="89" spans="2:6" ht="13.5" customHeight="1">
      <c r="B89" s="272"/>
      <c r="C89" s="272"/>
      <c r="D89" s="272"/>
      <c r="E89" s="272"/>
      <c r="F89" s="272"/>
    </row>
    <row r="90" spans="2:6" ht="13.5" customHeight="1">
      <c r="B90" s="272"/>
      <c r="C90" s="272"/>
      <c r="D90" s="272"/>
      <c r="E90" s="272"/>
      <c r="F90" s="272"/>
    </row>
    <row r="91" spans="2:6" ht="13.5" customHeight="1">
      <c r="B91" s="272"/>
      <c r="C91" s="272"/>
      <c r="D91" s="272"/>
      <c r="E91" s="272"/>
      <c r="F91" s="272"/>
    </row>
    <row r="92" spans="2:6" ht="13.5" customHeight="1">
      <c r="B92" s="272"/>
      <c r="C92" s="272"/>
      <c r="D92" s="272"/>
      <c r="E92" s="272"/>
      <c r="F92" s="272"/>
    </row>
    <row r="93" spans="2:6" ht="13.5" customHeight="1">
      <c r="B93" s="272"/>
      <c r="C93" s="272"/>
      <c r="D93" s="272"/>
      <c r="E93" s="272"/>
      <c r="F93" s="272"/>
    </row>
    <row r="94" spans="2:6" ht="13.5" customHeight="1">
      <c r="B94" s="272"/>
      <c r="C94" s="272"/>
      <c r="D94" s="272"/>
      <c r="E94" s="272"/>
      <c r="F94" s="272"/>
    </row>
    <row r="95" spans="2:6" ht="13.5" customHeight="1">
      <c r="B95" s="272"/>
      <c r="C95" s="272"/>
      <c r="D95" s="272"/>
      <c r="E95" s="272"/>
      <c r="F95" s="272"/>
    </row>
    <row r="96" spans="2:6" ht="13.5" customHeight="1">
      <c r="B96" s="272"/>
      <c r="C96" s="272"/>
      <c r="D96" s="272"/>
      <c r="E96" s="272"/>
      <c r="F96" s="272"/>
    </row>
    <row r="97" spans="2:6" ht="13.5" customHeight="1">
      <c r="B97" s="272"/>
      <c r="C97" s="272"/>
      <c r="D97" s="272"/>
      <c r="E97" s="272"/>
      <c r="F97" s="272"/>
    </row>
    <row r="98" spans="2:6" ht="13.5" customHeight="1">
      <c r="B98" s="272"/>
      <c r="C98" s="272"/>
      <c r="D98" s="272"/>
      <c r="E98" s="272"/>
      <c r="F98" s="272"/>
    </row>
    <row r="99" spans="2:6" ht="13.5" customHeight="1">
      <c r="B99" s="272"/>
      <c r="C99" s="272"/>
      <c r="D99" s="272"/>
      <c r="E99" s="272"/>
      <c r="F99" s="272"/>
    </row>
    <row r="100" spans="2:6" ht="13.5" customHeight="1">
      <c r="B100" s="272"/>
      <c r="C100" s="272"/>
      <c r="D100" s="272"/>
      <c r="E100" s="272"/>
      <c r="F100" s="272"/>
    </row>
    <row r="101" spans="2:6" ht="13.5" customHeight="1">
      <c r="B101" s="272"/>
      <c r="C101" s="272"/>
      <c r="D101" s="272"/>
      <c r="E101" s="272"/>
      <c r="F101" s="272"/>
    </row>
    <row r="102" spans="2:6" ht="13.5" customHeight="1">
      <c r="B102" s="272"/>
      <c r="C102" s="272"/>
      <c r="D102" s="272"/>
      <c r="E102" s="272"/>
      <c r="F102" s="272"/>
    </row>
    <row r="103" spans="2:6" ht="13.5" customHeight="1">
      <c r="B103" s="272"/>
      <c r="C103" s="272"/>
      <c r="D103" s="272"/>
      <c r="E103" s="272"/>
      <c r="F103" s="272"/>
    </row>
    <row r="104" spans="2:6" ht="13.5" customHeight="1">
      <c r="B104" s="272"/>
      <c r="C104" s="272"/>
      <c r="D104" s="272"/>
      <c r="E104" s="272"/>
      <c r="F104" s="272"/>
    </row>
    <row r="105" spans="2:6" ht="13.5" customHeight="1">
      <c r="B105" s="272"/>
      <c r="C105" s="272"/>
      <c r="D105" s="272"/>
      <c r="E105" s="272"/>
      <c r="F105" s="272"/>
    </row>
    <row r="106" spans="2:6" ht="13.5" customHeight="1">
      <c r="B106" s="272"/>
      <c r="C106" s="272"/>
      <c r="D106" s="272"/>
      <c r="E106" s="272"/>
      <c r="F106" s="272"/>
    </row>
    <row r="107" spans="2:6" ht="13.5" customHeight="1">
      <c r="B107" s="272"/>
      <c r="C107" s="272"/>
      <c r="D107" s="272"/>
      <c r="E107" s="272"/>
      <c r="F107" s="272"/>
    </row>
    <row r="108" spans="2:6" ht="13.5" customHeight="1">
      <c r="B108" s="272"/>
      <c r="C108" s="272"/>
      <c r="D108" s="272"/>
      <c r="E108" s="272"/>
      <c r="F108" s="272"/>
    </row>
    <row r="109" spans="2:6" ht="13.5" customHeight="1">
      <c r="B109" s="272"/>
      <c r="C109" s="272"/>
      <c r="D109" s="272"/>
      <c r="E109" s="272"/>
      <c r="F109" s="272"/>
    </row>
    <row r="110" spans="2:6" ht="13.5" customHeight="1">
      <c r="B110" s="272"/>
      <c r="C110" s="272"/>
      <c r="D110" s="272"/>
      <c r="E110" s="272"/>
      <c r="F110" s="272"/>
    </row>
    <row r="111" spans="2:6" ht="13.5" customHeight="1">
      <c r="B111" s="272"/>
      <c r="C111" s="272"/>
      <c r="D111" s="272"/>
      <c r="E111" s="272"/>
      <c r="F111" s="272"/>
    </row>
    <row r="112" spans="2:6" ht="13.5" customHeight="1">
      <c r="B112" s="272"/>
      <c r="C112" s="272"/>
      <c r="D112" s="272"/>
      <c r="E112" s="272"/>
      <c r="F112" s="272"/>
    </row>
    <row r="113" spans="2:6" ht="13.5" customHeight="1">
      <c r="B113" s="272"/>
      <c r="C113" s="272"/>
      <c r="D113" s="272"/>
      <c r="E113" s="272"/>
      <c r="F113" s="272"/>
    </row>
    <row r="114" spans="2:6" ht="13.5" customHeight="1">
      <c r="B114" s="272"/>
      <c r="C114" s="272"/>
      <c r="D114" s="272"/>
      <c r="E114" s="272"/>
      <c r="F114" s="272"/>
    </row>
    <row r="115" spans="2:6" ht="13.5" customHeight="1">
      <c r="B115" s="272"/>
      <c r="C115" s="272"/>
      <c r="D115" s="272"/>
      <c r="E115" s="272"/>
      <c r="F115" s="272"/>
    </row>
    <row r="116" spans="2:6" ht="13.5" customHeight="1">
      <c r="B116" s="272"/>
      <c r="C116" s="272"/>
      <c r="D116" s="272"/>
      <c r="E116" s="272"/>
      <c r="F116" s="272"/>
    </row>
    <row r="117" spans="2:6" ht="13.5" customHeight="1">
      <c r="B117" s="272"/>
      <c r="C117" s="272"/>
      <c r="D117" s="272"/>
      <c r="E117" s="272"/>
      <c r="F117" s="272"/>
    </row>
    <row r="118" spans="2:6" ht="13.5" customHeight="1">
      <c r="B118" s="272"/>
      <c r="C118" s="272"/>
      <c r="D118" s="272"/>
      <c r="E118" s="272"/>
      <c r="F118" s="272"/>
    </row>
    <row r="119" spans="2:6" ht="13.5" customHeight="1">
      <c r="B119" s="272"/>
      <c r="C119" s="272"/>
      <c r="D119" s="272"/>
      <c r="E119" s="272"/>
      <c r="F119" s="272"/>
    </row>
    <row r="120" spans="2:6" ht="13.5" customHeight="1">
      <c r="B120" s="272"/>
      <c r="C120" s="272"/>
      <c r="D120" s="272"/>
      <c r="E120" s="272"/>
      <c r="F120" s="272"/>
    </row>
    <row r="121" spans="2:6" ht="13.5" customHeight="1">
      <c r="B121" s="272"/>
      <c r="C121" s="272"/>
      <c r="D121" s="272"/>
      <c r="E121" s="272"/>
      <c r="F121" s="272"/>
    </row>
    <row r="122" spans="2:6" ht="13.5" customHeight="1">
      <c r="B122" s="272"/>
      <c r="C122" s="272"/>
      <c r="D122" s="272"/>
      <c r="E122" s="272"/>
      <c r="F122" s="272"/>
    </row>
    <row r="123" spans="2:6" ht="13.5" customHeight="1">
      <c r="B123" s="272"/>
      <c r="C123" s="272"/>
      <c r="D123" s="272"/>
      <c r="E123" s="272"/>
      <c r="F123" s="272"/>
    </row>
    <row r="124" spans="2:6" ht="13.5" customHeight="1">
      <c r="B124" s="272"/>
      <c r="C124" s="272"/>
      <c r="D124" s="272"/>
      <c r="E124" s="272"/>
      <c r="F124" s="272"/>
    </row>
    <row r="125" spans="2:6" ht="13.5" customHeight="1">
      <c r="B125" s="272"/>
      <c r="C125" s="272"/>
      <c r="D125" s="272"/>
      <c r="E125" s="272"/>
      <c r="F125" s="272"/>
    </row>
    <row r="126" spans="2:6" ht="13.5" customHeight="1">
      <c r="B126" s="272"/>
      <c r="C126" s="272"/>
      <c r="D126" s="272"/>
      <c r="E126" s="272"/>
      <c r="F126" s="272"/>
    </row>
    <row r="127" spans="2:6" ht="13.5" customHeight="1">
      <c r="B127" s="272"/>
      <c r="C127" s="272"/>
      <c r="D127" s="272"/>
      <c r="E127" s="272"/>
      <c r="F127" s="272"/>
    </row>
    <row r="128" spans="2:6" ht="13.5" customHeight="1">
      <c r="B128" s="272"/>
      <c r="C128" s="272"/>
      <c r="D128" s="272"/>
      <c r="E128" s="272"/>
      <c r="F128" s="272"/>
    </row>
    <row r="129" spans="2:6" ht="13.5" customHeight="1">
      <c r="B129" s="272"/>
      <c r="C129" s="272"/>
      <c r="D129" s="272"/>
      <c r="E129" s="272"/>
      <c r="F129" s="272"/>
    </row>
    <row r="130" spans="2:6" ht="13.5" customHeight="1">
      <c r="B130" s="272"/>
      <c r="C130" s="272"/>
      <c r="D130" s="272"/>
      <c r="E130" s="272"/>
      <c r="F130" s="272"/>
    </row>
    <row r="131" spans="2:6" ht="13.5" customHeight="1">
      <c r="B131" s="272"/>
      <c r="C131" s="272"/>
      <c r="D131" s="272"/>
      <c r="E131" s="272"/>
      <c r="F131" s="272"/>
    </row>
    <row r="132" spans="2:6" ht="13.5" customHeight="1">
      <c r="B132" s="272"/>
      <c r="C132" s="272"/>
      <c r="D132" s="272"/>
      <c r="E132" s="272"/>
      <c r="F132" s="272"/>
    </row>
    <row r="133" spans="2:6" ht="13.5" customHeight="1">
      <c r="B133" s="272"/>
      <c r="C133" s="272"/>
      <c r="D133" s="272"/>
      <c r="E133" s="272"/>
      <c r="F133" s="272"/>
    </row>
    <row r="134" spans="2:6" ht="13.5" customHeight="1">
      <c r="B134" s="272"/>
      <c r="C134" s="272"/>
      <c r="D134" s="272"/>
      <c r="E134" s="272"/>
      <c r="F134" s="272"/>
    </row>
    <row r="135" spans="2:6" ht="13.5" customHeight="1">
      <c r="B135" s="272"/>
      <c r="C135" s="272"/>
      <c r="D135" s="272"/>
      <c r="E135" s="272"/>
      <c r="F135" s="272"/>
    </row>
    <row r="136" spans="2:6" ht="13.5" customHeight="1">
      <c r="B136" s="272"/>
      <c r="C136" s="272"/>
      <c r="D136" s="272"/>
      <c r="E136" s="272"/>
      <c r="F136" s="272"/>
    </row>
    <row r="137" spans="2:6" ht="13.5" customHeight="1">
      <c r="B137" s="272"/>
      <c r="C137" s="272"/>
      <c r="D137" s="272"/>
      <c r="E137" s="272"/>
      <c r="F137" s="272"/>
    </row>
    <row r="138" spans="2:6" ht="13.5" customHeight="1">
      <c r="B138" s="272"/>
      <c r="C138" s="272"/>
      <c r="D138" s="272"/>
      <c r="E138" s="272"/>
      <c r="F138" s="272"/>
    </row>
    <row r="139" spans="2:6" ht="13.5" customHeight="1">
      <c r="B139" s="272"/>
      <c r="C139" s="272"/>
      <c r="D139" s="272"/>
      <c r="E139" s="272"/>
      <c r="F139" s="272"/>
    </row>
    <row r="140" spans="2:6" ht="13.5" customHeight="1">
      <c r="B140" s="272"/>
      <c r="C140" s="272"/>
      <c r="D140" s="272"/>
      <c r="E140" s="272"/>
      <c r="F140" s="272"/>
    </row>
    <row r="141" spans="2:6" ht="13.5" customHeight="1">
      <c r="B141" s="272"/>
      <c r="C141" s="272"/>
      <c r="D141" s="272"/>
      <c r="E141" s="272"/>
      <c r="F141" s="272"/>
    </row>
    <row r="142" spans="2:6" ht="13.5" customHeight="1">
      <c r="B142" s="272"/>
      <c r="C142" s="272"/>
      <c r="D142" s="272"/>
      <c r="E142" s="272"/>
      <c r="F142" s="272"/>
    </row>
    <row r="143" spans="2:6" ht="13.5" customHeight="1">
      <c r="B143" s="272"/>
      <c r="C143" s="272"/>
      <c r="D143" s="272"/>
      <c r="E143" s="272"/>
      <c r="F143" s="272"/>
    </row>
    <row r="144" spans="2:6" ht="13.5" customHeight="1">
      <c r="B144" s="272"/>
      <c r="C144" s="272"/>
      <c r="D144" s="272"/>
      <c r="E144" s="272"/>
      <c r="F144" s="272"/>
    </row>
    <row r="145" spans="2:6" ht="13.5" customHeight="1">
      <c r="B145" s="272"/>
      <c r="C145" s="272"/>
      <c r="D145" s="272"/>
      <c r="E145" s="272"/>
      <c r="F145" s="272"/>
    </row>
    <row r="146" spans="2:6" ht="13.5" customHeight="1">
      <c r="B146" s="272"/>
      <c r="C146" s="272"/>
      <c r="D146" s="272"/>
      <c r="E146" s="272"/>
      <c r="F146" s="272"/>
    </row>
    <row r="147" spans="2:6" ht="13.5" customHeight="1">
      <c r="B147" s="272"/>
      <c r="C147" s="272"/>
      <c r="D147" s="272"/>
      <c r="E147" s="272"/>
      <c r="F147" s="272"/>
    </row>
    <row r="148" spans="2:6" ht="13.5" customHeight="1">
      <c r="B148" s="272"/>
      <c r="C148" s="272"/>
      <c r="D148" s="272"/>
      <c r="E148" s="272"/>
      <c r="F148" s="272"/>
    </row>
    <row r="149" spans="2:6" ht="13.5" customHeight="1">
      <c r="B149" s="272"/>
      <c r="C149" s="272"/>
      <c r="D149" s="272"/>
      <c r="E149" s="272"/>
      <c r="F149" s="272"/>
    </row>
    <row r="150" spans="2:6" ht="13.5" customHeight="1">
      <c r="B150" s="272"/>
      <c r="C150" s="272"/>
      <c r="D150" s="272"/>
      <c r="E150" s="272"/>
      <c r="F150" s="272"/>
    </row>
    <row r="151" spans="2:6" ht="13.5" customHeight="1">
      <c r="B151" s="272"/>
      <c r="C151" s="272"/>
      <c r="D151" s="272"/>
      <c r="E151" s="272"/>
      <c r="F151" s="272"/>
    </row>
    <row r="152" spans="2:6" ht="13.5" customHeight="1">
      <c r="B152" s="272"/>
      <c r="C152" s="272"/>
      <c r="D152" s="272"/>
      <c r="E152" s="272"/>
      <c r="F152" s="272"/>
    </row>
    <row r="153" spans="2:6" ht="13.5" customHeight="1">
      <c r="B153" s="272"/>
      <c r="C153" s="272"/>
      <c r="D153" s="272"/>
      <c r="E153" s="272"/>
      <c r="F153" s="272"/>
    </row>
    <row r="154" spans="2:6" ht="13.5" customHeight="1">
      <c r="B154" s="272"/>
      <c r="C154" s="272"/>
      <c r="D154" s="272"/>
      <c r="E154" s="272"/>
      <c r="F154" s="272"/>
    </row>
    <row r="155" spans="2:6" ht="13.5" customHeight="1">
      <c r="B155" s="272"/>
      <c r="C155" s="272"/>
      <c r="D155" s="272"/>
      <c r="E155" s="272"/>
      <c r="F155" s="272"/>
    </row>
    <row r="156" spans="2:6" ht="13.5" customHeight="1">
      <c r="B156" s="272"/>
      <c r="C156" s="272"/>
      <c r="D156" s="272"/>
      <c r="E156" s="272"/>
      <c r="F156" s="272"/>
    </row>
    <row r="157" spans="2:6" ht="13.5" customHeight="1">
      <c r="B157" s="272"/>
      <c r="C157" s="272"/>
      <c r="D157" s="272"/>
      <c r="E157" s="272"/>
      <c r="F157" s="272"/>
    </row>
    <row r="158" spans="2:6" ht="13.5" customHeight="1">
      <c r="B158" s="272"/>
      <c r="C158" s="272"/>
      <c r="D158" s="272"/>
      <c r="E158" s="272"/>
      <c r="F158" s="272"/>
    </row>
    <row r="159" spans="2:6" ht="13.5" customHeight="1">
      <c r="B159" s="272"/>
      <c r="C159" s="272"/>
      <c r="D159" s="272"/>
      <c r="E159" s="272"/>
      <c r="F159" s="272"/>
    </row>
    <row r="160" spans="2:6" ht="13.5" customHeight="1">
      <c r="B160" s="272"/>
      <c r="C160" s="272"/>
      <c r="D160" s="272"/>
      <c r="E160" s="272"/>
      <c r="F160" s="272"/>
    </row>
    <row r="161" spans="2:6" ht="13.5" customHeight="1">
      <c r="B161" s="272"/>
      <c r="C161" s="272"/>
      <c r="D161" s="272"/>
      <c r="E161" s="272"/>
      <c r="F161" s="272"/>
    </row>
    <row r="162" spans="2:6" ht="13.5" customHeight="1">
      <c r="B162" s="272"/>
      <c r="C162" s="272"/>
      <c r="D162" s="272"/>
      <c r="E162" s="272"/>
      <c r="F162" s="272"/>
    </row>
    <row r="163" spans="2:6" ht="13.5" customHeight="1">
      <c r="B163" s="272"/>
      <c r="C163" s="272"/>
      <c r="D163" s="272"/>
      <c r="E163" s="272"/>
      <c r="F163" s="272"/>
    </row>
    <row r="164" spans="2:6" ht="13.5" customHeight="1">
      <c r="B164" s="272"/>
      <c r="C164" s="272"/>
      <c r="D164" s="272"/>
      <c r="E164" s="272"/>
      <c r="F164" s="272"/>
    </row>
    <row r="165" spans="2:6" ht="13.5" customHeight="1">
      <c r="B165" s="272"/>
      <c r="C165" s="272"/>
      <c r="D165" s="272"/>
      <c r="E165" s="272"/>
      <c r="F165" s="272"/>
    </row>
    <row r="166" spans="2:6" ht="13.5" customHeight="1">
      <c r="B166" s="272"/>
      <c r="C166" s="272"/>
      <c r="D166" s="272"/>
      <c r="E166" s="272"/>
      <c r="F166" s="272"/>
    </row>
    <row r="167" spans="2:6" ht="13.5" customHeight="1">
      <c r="B167" s="272"/>
      <c r="C167" s="272"/>
      <c r="D167" s="272"/>
      <c r="E167" s="272"/>
      <c r="F167" s="272"/>
    </row>
    <row r="168" spans="2:6" ht="13.5" customHeight="1">
      <c r="B168" s="272"/>
      <c r="C168" s="272"/>
      <c r="D168" s="272"/>
      <c r="E168" s="272"/>
      <c r="F168" s="272"/>
    </row>
    <row r="169" spans="2:6" ht="13.5" customHeight="1">
      <c r="B169" s="272"/>
      <c r="C169" s="272"/>
      <c r="D169" s="272"/>
      <c r="E169" s="272"/>
      <c r="F169" s="272"/>
    </row>
    <row r="170" spans="2:6" ht="13.5" customHeight="1">
      <c r="B170" s="272"/>
      <c r="C170" s="272"/>
      <c r="D170" s="272"/>
      <c r="E170" s="272"/>
      <c r="F170" s="272"/>
    </row>
    <row r="171" spans="2:6" ht="13.5" customHeight="1">
      <c r="B171" s="272"/>
      <c r="C171" s="272"/>
      <c r="D171" s="272"/>
      <c r="E171" s="272"/>
      <c r="F171" s="272"/>
    </row>
    <row r="172" spans="2:6" ht="13.5" customHeight="1">
      <c r="B172" s="272"/>
      <c r="C172" s="272"/>
      <c r="D172" s="272"/>
      <c r="E172" s="272"/>
      <c r="F172" s="272"/>
    </row>
    <row r="173" spans="2:6" ht="13.5" customHeight="1">
      <c r="B173" s="272"/>
      <c r="C173" s="272"/>
      <c r="D173" s="272"/>
      <c r="E173" s="272"/>
      <c r="F173" s="272"/>
    </row>
    <row r="174" spans="2:6" ht="13.5" customHeight="1">
      <c r="B174" s="272"/>
      <c r="C174" s="272"/>
      <c r="D174" s="272"/>
      <c r="E174" s="272"/>
      <c r="F174" s="272"/>
    </row>
    <row r="175" spans="2:6" ht="13.5" customHeight="1">
      <c r="B175" s="272"/>
      <c r="C175" s="272"/>
      <c r="D175" s="272"/>
      <c r="E175" s="272"/>
      <c r="F175" s="272"/>
    </row>
    <row r="176" spans="2:6" ht="13.5" customHeight="1">
      <c r="B176" s="272"/>
      <c r="C176" s="272"/>
      <c r="D176" s="272"/>
      <c r="E176" s="272"/>
      <c r="F176" s="272"/>
    </row>
    <row r="177" spans="2:6" ht="13.5" customHeight="1">
      <c r="B177" s="272"/>
      <c r="C177" s="272"/>
      <c r="D177" s="272"/>
      <c r="E177" s="272"/>
      <c r="F177" s="272"/>
    </row>
    <row r="178" spans="2:6" ht="13.5" customHeight="1">
      <c r="B178" s="272"/>
      <c r="C178" s="272"/>
      <c r="D178" s="272"/>
      <c r="E178" s="272"/>
      <c r="F178" s="272"/>
    </row>
    <row r="179" spans="2:6" ht="13.5" customHeight="1">
      <c r="B179" s="272"/>
      <c r="C179" s="272"/>
      <c r="D179" s="272"/>
      <c r="E179" s="272"/>
      <c r="F179" s="272"/>
    </row>
    <row r="180" spans="2:6" ht="13.5" customHeight="1">
      <c r="B180" s="272"/>
      <c r="C180" s="272"/>
      <c r="D180" s="272"/>
      <c r="E180" s="272"/>
      <c r="F180" s="272"/>
    </row>
    <row r="181" spans="2:6" ht="13.5" customHeight="1">
      <c r="B181" s="272"/>
      <c r="C181" s="272"/>
      <c r="D181" s="272"/>
      <c r="E181" s="272"/>
      <c r="F181" s="272"/>
    </row>
    <row r="182" spans="2:6" ht="13.5" customHeight="1">
      <c r="B182" s="272"/>
      <c r="C182" s="272"/>
      <c r="D182" s="272"/>
      <c r="E182" s="272"/>
      <c r="F182" s="272"/>
    </row>
    <row r="183" spans="2:6" ht="13.5" customHeight="1">
      <c r="B183" s="272"/>
      <c r="C183" s="272"/>
      <c r="D183" s="272"/>
      <c r="E183" s="272"/>
      <c r="F183" s="272"/>
    </row>
    <row r="184" spans="2:6" ht="13.5" customHeight="1">
      <c r="B184" s="272"/>
      <c r="C184" s="272"/>
      <c r="D184" s="272"/>
      <c r="E184" s="272"/>
      <c r="F184" s="272"/>
    </row>
    <row r="185" spans="2:6" ht="13.5" customHeight="1">
      <c r="B185" s="272"/>
      <c r="C185" s="272"/>
      <c r="D185" s="272"/>
      <c r="E185" s="272"/>
      <c r="F185" s="272"/>
    </row>
    <row r="186" spans="2:6" ht="13.5" customHeight="1">
      <c r="B186" s="272"/>
      <c r="C186" s="272"/>
      <c r="D186" s="272"/>
      <c r="E186" s="272"/>
      <c r="F186" s="272"/>
    </row>
    <row r="187" spans="2:6" ht="13.5" customHeight="1">
      <c r="B187" s="272"/>
      <c r="C187" s="272"/>
      <c r="D187" s="272"/>
      <c r="E187" s="272"/>
      <c r="F187" s="272"/>
    </row>
    <row r="188" spans="2:6" ht="13.5" customHeight="1">
      <c r="B188" s="272"/>
      <c r="C188" s="272"/>
      <c r="D188" s="272"/>
      <c r="E188" s="272"/>
      <c r="F188" s="272"/>
    </row>
    <row r="189" spans="2:6" ht="13.5" customHeight="1">
      <c r="B189" s="272"/>
      <c r="C189" s="272"/>
      <c r="D189" s="272"/>
      <c r="E189" s="272"/>
      <c r="F189" s="272"/>
    </row>
    <row r="190" spans="2:6" ht="13.5" customHeight="1">
      <c r="B190" s="272"/>
      <c r="C190" s="272"/>
      <c r="D190" s="272"/>
      <c r="E190" s="272"/>
      <c r="F190" s="272"/>
    </row>
    <row r="191" spans="2:6" ht="13.5" customHeight="1">
      <c r="B191" s="272"/>
      <c r="C191" s="272"/>
      <c r="D191" s="272"/>
      <c r="E191" s="272"/>
      <c r="F191" s="272"/>
    </row>
    <row r="192" spans="2:6" ht="13.5" customHeight="1">
      <c r="B192" s="272"/>
      <c r="C192" s="272"/>
      <c r="D192" s="272"/>
      <c r="E192" s="272"/>
      <c r="F192" s="272"/>
    </row>
    <row r="193" spans="2:6" ht="13.5" customHeight="1">
      <c r="B193" s="272"/>
      <c r="C193" s="272"/>
      <c r="D193" s="272"/>
      <c r="E193" s="272"/>
      <c r="F193" s="272"/>
    </row>
    <row r="194" spans="2:6" ht="13.5" customHeight="1">
      <c r="B194" s="272"/>
      <c r="C194" s="272"/>
      <c r="D194" s="272"/>
      <c r="E194" s="272"/>
      <c r="F194" s="272"/>
    </row>
    <row r="195" spans="2:6" ht="13.5" customHeight="1">
      <c r="B195" s="272"/>
      <c r="C195" s="272"/>
      <c r="D195" s="272"/>
      <c r="E195" s="272"/>
      <c r="F195" s="272"/>
    </row>
    <row r="196" spans="2:6" ht="13.5" customHeight="1">
      <c r="B196" s="272"/>
      <c r="C196" s="272"/>
      <c r="D196" s="272"/>
      <c r="E196" s="272"/>
      <c r="F196" s="272"/>
    </row>
    <row r="197" spans="2:6" ht="13.5" customHeight="1">
      <c r="B197" s="272"/>
      <c r="C197" s="272"/>
      <c r="D197" s="272"/>
      <c r="E197" s="272"/>
      <c r="F197" s="272"/>
    </row>
    <row r="198" spans="2:6" ht="13.5" customHeight="1">
      <c r="B198" s="272"/>
      <c r="C198" s="272"/>
      <c r="D198" s="272"/>
      <c r="E198" s="272"/>
      <c r="F198" s="272"/>
    </row>
    <row r="199" spans="2:6" ht="13.5" customHeight="1">
      <c r="B199" s="272"/>
      <c r="C199" s="272"/>
      <c r="D199" s="272"/>
      <c r="E199" s="272"/>
      <c r="F199" s="272"/>
    </row>
    <row r="200" spans="2:6" ht="13.5" customHeight="1">
      <c r="B200" s="272"/>
      <c r="C200" s="272"/>
      <c r="D200" s="272"/>
      <c r="E200" s="272"/>
      <c r="F200" s="272"/>
    </row>
    <row r="201" spans="2:6" ht="13.5" customHeight="1">
      <c r="B201" s="272"/>
      <c r="C201" s="272"/>
      <c r="D201" s="272"/>
      <c r="E201" s="272"/>
      <c r="F201" s="272"/>
    </row>
    <row r="202" spans="2:6" ht="13.5" customHeight="1">
      <c r="B202" s="272"/>
      <c r="C202" s="272"/>
      <c r="D202" s="272"/>
      <c r="E202" s="272"/>
      <c r="F202" s="272"/>
    </row>
    <row r="203" spans="2:6" ht="13.5" customHeight="1">
      <c r="B203" s="272"/>
      <c r="C203" s="272"/>
      <c r="D203" s="272"/>
      <c r="E203" s="272"/>
      <c r="F203" s="272"/>
    </row>
    <row r="204" spans="2:6" ht="13.5" customHeight="1">
      <c r="B204" s="272"/>
      <c r="C204" s="272"/>
      <c r="D204" s="272"/>
      <c r="E204" s="272"/>
      <c r="F204" s="272"/>
    </row>
    <row r="205" spans="2:6" ht="13.5" customHeight="1">
      <c r="B205" s="272"/>
      <c r="C205" s="272"/>
      <c r="D205" s="272"/>
      <c r="E205" s="272"/>
      <c r="F205" s="272"/>
    </row>
    <row r="206" spans="2:6" ht="13.5" customHeight="1">
      <c r="B206" s="272"/>
      <c r="C206" s="272"/>
      <c r="D206" s="272"/>
      <c r="E206" s="272"/>
      <c r="F206" s="272"/>
    </row>
    <row r="207" spans="2:6" ht="13.5" customHeight="1">
      <c r="B207" s="272"/>
      <c r="C207" s="272"/>
      <c r="D207" s="272"/>
      <c r="E207" s="272"/>
      <c r="F207" s="272"/>
    </row>
    <row r="208" spans="2:6" ht="13.5" customHeight="1">
      <c r="B208" s="272"/>
      <c r="C208" s="272"/>
      <c r="D208" s="272"/>
      <c r="E208" s="272"/>
      <c r="F208" s="272"/>
    </row>
    <row r="209" spans="2:6" ht="13.5" customHeight="1">
      <c r="B209" s="272"/>
      <c r="C209" s="272"/>
      <c r="D209" s="272"/>
      <c r="E209" s="272"/>
      <c r="F209" s="272"/>
    </row>
    <row r="210" spans="2:6" ht="13.5" customHeight="1">
      <c r="B210" s="272"/>
      <c r="C210" s="272"/>
      <c r="D210" s="272"/>
      <c r="E210" s="272"/>
      <c r="F210" s="272"/>
    </row>
    <row r="211" spans="2:6" ht="13.5" customHeight="1">
      <c r="B211" s="272"/>
      <c r="C211" s="272"/>
      <c r="D211" s="272"/>
      <c r="E211" s="272"/>
      <c r="F211" s="272"/>
    </row>
    <row r="212" spans="2:6" ht="13.5" customHeight="1">
      <c r="B212" s="272"/>
      <c r="C212" s="272"/>
      <c r="D212" s="272"/>
      <c r="E212" s="272"/>
      <c r="F212" s="272"/>
    </row>
    <row r="213" spans="2:6" ht="13.5" customHeight="1">
      <c r="B213" s="272"/>
      <c r="C213" s="272"/>
      <c r="D213" s="272"/>
      <c r="E213" s="272"/>
      <c r="F213" s="272"/>
    </row>
    <row r="214" spans="2:6" ht="13.5" customHeight="1">
      <c r="B214" s="272"/>
      <c r="C214" s="272"/>
      <c r="D214" s="272"/>
      <c r="E214" s="272"/>
      <c r="F214" s="272"/>
    </row>
    <row r="215" spans="2:6" ht="13.5" customHeight="1">
      <c r="B215" s="272"/>
      <c r="C215" s="272"/>
      <c r="D215" s="272"/>
      <c r="E215" s="272"/>
      <c r="F215" s="272"/>
    </row>
    <row r="216" spans="2:6" ht="13.5" customHeight="1">
      <c r="B216" s="272"/>
      <c r="C216" s="272"/>
      <c r="D216" s="272"/>
      <c r="E216" s="272"/>
      <c r="F216" s="272"/>
    </row>
    <row r="217" spans="2:6" ht="13.5" customHeight="1">
      <c r="B217" s="272"/>
      <c r="C217" s="272"/>
      <c r="D217" s="272"/>
      <c r="E217" s="272"/>
      <c r="F217" s="272"/>
    </row>
    <row r="218" spans="2:6" ht="13.5" customHeight="1">
      <c r="B218" s="272"/>
      <c r="C218" s="272"/>
      <c r="D218" s="272"/>
      <c r="E218" s="272"/>
      <c r="F218" s="272"/>
    </row>
    <row r="219" spans="2:6" ht="13.5" customHeight="1">
      <c r="B219" s="272"/>
      <c r="C219" s="272"/>
      <c r="D219" s="272"/>
      <c r="E219" s="272"/>
      <c r="F219" s="272"/>
    </row>
    <row r="220" spans="2:6" ht="13.5" customHeight="1">
      <c r="B220" s="272"/>
      <c r="C220" s="272"/>
      <c r="D220" s="272"/>
      <c r="E220" s="272"/>
      <c r="F220" s="272"/>
    </row>
    <row r="221" spans="2:6" ht="13.5" customHeight="1">
      <c r="B221" s="272"/>
      <c r="C221" s="272"/>
      <c r="D221" s="272"/>
      <c r="E221" s="272"/>
      <c r="F221" s="272"/>
    </row>
    <row r="222" spans="2:6" ht="13.5" customHeight="1">
      <c r="B222" s="272"/>
      <c r="C222" s="272"/>
      <c r="D222" s="272"/>
      <c r="E222" s="272"/>
      <c r="F222" s="272"/>
    </row>
    <row r="223" spans="2:6" ht="13.5" customHeight="1">
      <c r="B223" s="272"/>
      <c r="C223" s="272"/>
      <c r="D223" s="272"/>
      <c r="E223" s="272"/>
      <c r="F223" s="272"/>
    </row>
    <row r="224" spans="2:6" ht="13.5" customHeight="1">
      <c r="B224" s="272"/>
      <c r="C224" s="272"/>
      <c r="D224" s="272"/>
      <c r="E224" s="272"/>
      <c r="F224" s="2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8:A19"/>
    <mergeCell ref="B18:F18"/>
    <mergeCell ref="A4:A5"/>
    <mergeCell ref="B4:F4"/>
    <mergeCell ref="H4:H5"/>
    <mergeCell ref="I4:M4"/>
    <mergeCell ref="B12:F12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  <pageSetUpPr fitToPage="1"/>
  </sheetPr>
  <dimension ref="A1:U1000"/>
  <sheetViews>
    <sheetView showGridLines="0" workbookViewId="0"/>
  </sheetViews>
  <sheetFormatPr baseColWidth="10" defaultColWidth="14.453125" defaultRowHeight="15" customHeight="1"/>
  <cols>
    <col min="1" max="3" width="26.7265625" customWidth="1"/>
    <col min="4" max="4" width="2" customWidth="1"/>
    <col min="5" max="6" width="39.08984375" customWidth="1"/>
    <col min="7" max="7" width="1.54296875" customWidth="1"/>
    <col min="8" max="10" width="23.81640625" customWidth="1"/>
    <col min="11" max="21" width="12.26953125" customWidth="1"/>
    <col min="22" max="26" width="14.54296875" customWidth="1"/>
  </cols>
  <sheetData>
    <row r="1" spans="1:21" ht="9" customHeight="1">
      <c r="A1" s="90"/>
      <c r="B1" s="272"/>
      <c r="C1" s="272"/>
      <c r="D1" s="283"/>
      <c r="E1" s="272"/>
      <c r="F1" s="272"/>
      <c r="G1" s="283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ht="15.75" customHeight="1">
      <c r="A2" s="90"/>
      <c r="B2" s="272"/>
      <c r="C2" s="272"/>
      <c r="D2" s="283"/>
      <c r="E2" s="272"/>
      <c r="F2" s="272"/>
      <c r="G2" s="283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15.75" customHeight="1">
      <c r="A3" s="90"/>
      <c r="B3" s="272"/>
      <c r="C3" s="272"/>
      <c r="D3" s="283"/>
      <c r="E3" s="272"/>
      <c r="F3" s="272"/>
      <c r="G3" s="283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ht="15.75" customHeight="1">
      <c r="A4" s="90"/>
      <c r="B4" s="272"/>
      <c r="C4" s="272"/>
      <c r="D4" s="283"/>
      <c r="E4" s="272"/>
      <c r="F4" s="272"/>
      <c r="G4" s="283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ht="15.75" customHeight="1">
      <c r="A5" s="90"/>
      <c r="B5" s="272"/>
      <c r="C5" s="272"/>
      <c r="D5" s="283"/>
      <c r="E5" s="272"/>
      <c r="F5" s="272"/>
      <c r="G5" s="283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5.75" customHeight="1">
      <c r="A6" s="90"/>
      <c r="B6" s="272"/>
      <c r="C6" s="272"/>
      <c r="D6" s="283"/>
      <c r="E6" s="272"/>
      <c r="F6" s="272"/>
      <c r="G6" s="283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ht="15.75" customHeight="1">
      <c r="A7" s="90"/>
      <c r="B7" s="272"/>
      <c r="C7" s="272"/>
      <c r="D7" s="283"/>
      <c r="E7" s="272"/>
      <c r="F7" s="272"/>
      <c r="G7" s="283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ht="15.75" customHeight="1">
      <c r="A8" s="90"/>
      <c r="B8" s="272"/>
      <c r="C8" s="272"/>
      <c r="D8" s="283"/>
      <c r="E8" s="272"/>
      <c r="F8" s="272"/>
      <c r="G8" s="283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ht="15.75" customHeight="1">
      <c r="A9" s="90"/>
      <c r="B9" s="272"/>
      <c r="C9" s="272"/>
      <c r="D9" s="283"/>
      <c r="E9" s="272"/>
      <c r="F9" s="272"/>
      <c r="G9" s="283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ht="15.75" customHeight="1">
      <c r="A10" s="90"/>
      <c r="B10" s="272"/>
      <c r="C10" s="272"/>
      <c r="D10" s="283"/>
      <c r="E10" s="272"/>
      <c r="F10" s="272"/>
      <c r="G10" s="283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5.75" customHeight="1">
      <c r="A11" s="90"/>
      <c r="B11" s="272"/>
      <c r="C11" s="272"/>
      <c r="D11" s="283"/>
      <c r="E11" s="272"/>
      <c r="F11" s="272"/>
      <c r="G11" s="283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5.75" customHeight="1">
      <c r="A12" s="90"/>
      <c r="B12" s="272"/>
      <c r="C12" s="272"/>
      <c r="D12" s="283"/>
      <c r="E12" s="272"/>
      <c r="F12" s="272"/>
      <c r="G12" s="283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ht="15.75" customHeight="1">
      <c r="A13" s="90"/>
      <c r="B13" s="272"/>
      <c r="C13" s="272"/>
      <c r="D13" s="283"/>
      <c r="E13" s="272"/>
      <c r="F13" s="272"/>
      <c r="G13" s="283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ht="15.75" customHeight="1">
      <c r="A14" s="90"/>
      <c r="B14" s="272"/>
      <c r="C14" s="272"/>
      <c r="D14" s="283"/>
      <c r="E14" s="272"/>
      <c r="F14" s="272"/>
      <c r="G14" s="283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1" ht="15.75" customHeight="1">
      <c r="A15" s="90"/>
      <c r="B15" s="272"/>
      <c r="C15" s="272"/>
      <c r="D15" s="283"/>
      <c r="E15" s="272"/>
      <c r="F15" s="272"/>
      <c r="G15" s="283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</row>
    <row r="16" spans="1:21" ht="15.75" customHeight="1">
      <c r="A16" s="90"/>
      <c r="B16" s="272"/>
      <c r="C16" s="272"/>
      <c r="D16" s="283"/>
      <c r="E16" s="272"/>
      <c r="F16" s="272"/>
      <c r="G16" s="283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</row>
    <row r="17" spans="1:21" ht="9" customHeight="1">
      <c r="A17" s="284"/>
      <c r="B17" s="283"/>
      <c r="C17" s="283"/>
      <c r="D17" s="283"/>
      <c r="E17" s="283"/>
      <c r="F17" s="283"/>
      <c r="G17" s="283"/>
      <c r="H17" s="284"/>
      <c r="I17" s="284"/>
      <c r="J17" s="284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1" ht="18" customHeight="1">
      <c r="A18" s="90"/>
      <c r="B18" s="272"/>
      <c r="C18" s="272"/>
      <c r="D18" s="283"/>
      <c r="E18" s="272"/>
      <c r="F18" s="272"/>
      <c r="G18" s="283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21" ht="18" customHeight="1">
      <c r="A19" s="90"/>
      <c r="B19" s="272"/>
      <c r="C19" s="272"/>
      <c r="D19" s="283"/>
      <c r="E19" s="272"/>
      <c r="F19" s="272"/>
      <c r="G19" s="283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 ht="18" customHeight="1">
      <c r="A20" s="90"/>
      <c r="B20" s="272"/>
      <c r="C20" s="272"/>
      <c r="D20" s="283"/>
      <c r="E20" s="272"/>
      <c r="F20" s="272"/>
      <c r="G20" s="283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1" ht="18" customHeight="1">
      <c r="A21" s="90"/>
      <c r="B21" s="272"/>
      <c r="C21" s="272"/>
      <c r="D21" s="283"/>
      <c r="E21" s="272"/>
      <c r="F21" s="272"/>
      <c r="G21" s="283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1" ht="18" customHeight="1">
      <c r="A22" s="90"/>
      <c r="B22" s="272"/>
      <c r="C22" s="272"/>
      <c r="D22" s="283"/>
      <c r="E22" s="272"/>
      <c r="F22" s="272"/>
      <c r="G22" s="283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1" ht="18" customHeight="1">
      <c r="A23" s="90"/>
      <c r="B23" s="272"/>
      <c r="C23" s="272"/>
      <c r="D23" s="283"/>
      <c r="E23" s="272"/>
      <c r="F23" s="272"/>
      <c r="G23" s="283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1" ht="18" customHeight="1">
      <c r="A24" s="90"/>
      <c r="B24" s="272"/>
      <c r="C24" s="272"/>
      <c r="D24" s="283"/>
      <c r="E24" s="272"/>
      <c r="F24" s="272"/>
      <c r="G24" s="283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 ht="18" customHeight="1">
      <c r="A25" s="90"/>
      <c r="B25" s="272"/>
      <c r="C25" s="272"/>
      <c r="D25" s="283"/>
      <c r="E25" s="272"/>
      <c r="F25" s="272"/>
      <c r="G25" s="283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1" ht="18" customHeight="1">
      <c r="A26" s="90"/>
      <c r="B26" s="272"/>
      <c r="C26" s="272"/>
      <c r="D26" s="283"/>
      <c r="E26" s="272"/>
      <c r="F26" s="272"/>
      <c r="G26" s="283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 ht="18" customHeight="1">
      <c r="A27" s="90"/>
      <c r="B27" s="272"/>
      <c r="C27" s="272"/>
      <c r="D27" s="283"/>
      <c r="E27" s="272"/>
      <c r="F27" s="272"/>
      <c r="G27" s="283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18" customHeight="1">
      <c r="A28" s="90"/>
      <c r="B28" s="272"/>
      <c r="C28" s="272"/>
      <c r="D28" s="283"/>
      <c r="E28" s="272"/>
      <c r="F28" s="272"/>
      <c r="G28" s="283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18" customHeight="1">
      <c r="A29" s="90"/>
      <c r="B29" s="272"/>
      <c r="C29" s="272"/>
      <c r="D29" s="283"/>
      <c r="E29" s="272"/>
      <c r="F29" s="272"/>
      <c r="G29" s="283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ht="18" customHeight="1">
      <c r="A30" s="90"/>
      <c r="B30" s="272"/>
      <c r="C30" s="272"/>
      <c r="D30" s="283"/>
      <c r="E30" s="272"/>
      <c r="F30" s="272"/>
      <c r="G30" s="283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</row>
    <row r="31" spans="1:21" ht="18" customHeight="1">
      <c r="A31" s="90"/>
      <c r="B31" s="272"/>
      <c r="C31" s="272"/>
      <c r="D31" s="283"/>
      <c r="E31" s="272"/>
      <c r="F31" s="272"/>
      <c r="G31" s="283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2" spans="1:21" ht="18" customHeight="1">
      <c r="A32" s="90"/>
      <c r="B32" s="272"/>
      <c r="C32" s="272"/>
      <c r="D32" s="283"/>
      <c r="E32" s="272"/>
      <c r="F32" s="272"/>
      <c r="G32" s="283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</row>
    <row r="33" spans="1:21" ht="9" customHeight="1">
      <c r="A33" s="284"/>
      <c r="B33" s="283"/>
      <c r="C33" s="283"/>
      <c r="D33" s="283"/>
      <c r="E33" s="283"/>
      <c r="F33" s="283"/>
      <c r="G33" s="284"/>
      <c r="H33" s="284"/>
      <c r="I33" s="284"/>
      <c r="J33" s="284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1" ht="13.5" customHeight="1">
      <c r="A34" s="90"/>
      <c r="B34" s="272"/>
      <c r="C34" s="272"/>
      <c r="D34" s="272"/>
      <c r="E34" s="272"/>
      <c r="F34" s="27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13.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ht="13.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1:21" ht="13.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1" ht="13.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</row>
    <row r="39" spans="1:21" ht="13.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</row>
    <row r="40" spans="1:21" ht="13.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13.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1:21" ht="13.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</row>
    <row r="43" spans="1:21" ht="13.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1:21" ht="13.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1:21" ht="13.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6" spans="1:21" ht="13.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</row>
    <row r="47" spans="1:21" ht="13.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</row>
    <row r="48" spans="1:21" ht="13.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</row>
    <row r="49" spans="1:21" ht="13.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1" ht="13.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</row>
    <row r="51" spans="1:21" ht="13.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</row>
    <row r="52" spans="1:21" ht="13.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1" ht="13.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3.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3.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ht="13.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</row>
    <row r="57" spans="1:21" ht="13.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</row>
    <row r="58" spans="1:21" ht="13.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</row>
    <row r="59" spans="1:21" ht="13.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</row>
    <row r="60" spans="1:21" ht="13.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</row>
    <row r="61" spans="1:21" ht="13.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  <row r="62" spans="1:21" ht="13.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</row>
    <row r="63" spans="1:21" ht="13.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</row>
    <row r="64" spans="1:21" ht="13.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</row>
    <row r="65" spans="1:21" ht="13.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</row>
    <row r="66" spans="1:21" ht="13.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</row>
    <row r="67" spans="1:21" ht="13.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</row>
    <row r="68" spans="1:21" ht="13.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</row>
    <row r="69" spans="1:21" ht="13.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ht="13.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</row>
    <row r="71" spans="1:21" ht="13.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1:21" ht="13.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13.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1:21" ht="13.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</row>
    <row r="75" spans="1:21" ht="13.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ht="13.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</row>
    <row r="77" spans="1:21" ht="13.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</row>
    <row r="78" spans="1:21" ht="13.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</row>
    <row r="79" spans="1:21" ht="13.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1:21" ht="13.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</row>
    <row r="81" spans="1:21" ht="13.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1:21" ht="13.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1:21" ht="13.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21" ht="13.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1:21" ht="13.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1:21" ht="13.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1:21" ht="13.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1:21" ht="13.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1:21" ht="13.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1:21" ht="13.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1:21" ht="13.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1:21" ht="13.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</row>
    <row r="93" spans="1:21" ht="13.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21" ht="13.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1:21" ht="13.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1:21" ht="13.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1:21" ht="13.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</row>
    <row r="98" spans="1:21" ht="13.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</row>
    <row r="99" spans="1:21" ht="13.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ht="13.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</row>
    <row r="101" spans="1:21" ht="13.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</row>
    <row r="102" spans="1:21" ht="13.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</row>
    <row r="103" spans="1:21" ht="13.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</row>
    <row r="104" spans="1:21" ht="13.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</row>
    <row r="105" spans="1:21" ht="13.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</row>
    <row r="106" spans="1:21" ht="13.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</row>
    <row r="107" spans="1:21" ht="13.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</row>
    <row r="108" spans="1:21" ht="13.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ht="13.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</row>
    <row r="110" spans="1:21" ht="13.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</row>
    <row r="111" spans="1:21" ht="13.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1:21" ht="13.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1:21" ht="13.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1:21" ht="13.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1:21" ht="13.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1:21" ht="13.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1:21" ht="13.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1:21" ht="13.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1:21" ht="13.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1:21" ht="13.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1:21" ht="13.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1:21" ht="13.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1:21" ht="13.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1:21" ht="13.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1:21" ht="13.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1:21" ht="13.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1:21" ht="13.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1:21" ht="13.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1:21" ht="13.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1:21" ht="13.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1:21" ht="13.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1:21" ht="13.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1:21" ht="13.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1:21" ht="13.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1:21" ht="13.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1:21" ht="13.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1:21" ht="13.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1:21" ht="13.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1:21" ht="13.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1:21" ht="13.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1:21" ht="13.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1:21" ht="13.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1:21" ht="13.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1:21" ht="13.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1:21" ht="13.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1:21" ht="13.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1:21" ht="13.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1:21" ht="13.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1:21" ht="13.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1:21" ht="13.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1:21" ht="13.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1:21" ht="13.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1:21" ht="13.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1:21" ht="13.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1:21" ht="13.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1:21" ht="13.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1:21" ht="13.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1:21" ht="13.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1:21" ht="13.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1:21" ht="13.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1:21" ht="13.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1:21" ht="13.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1:21" ht="13.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1:21" ht="13.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1:21" ht="13.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1:21" ht="13.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1:21" ht="13.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1:21" ht="13.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1:21" ht="13.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1:21" ht="13.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1:21" ht="13.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1:21" ht="13.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1:21" ht="13.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1:21" ht="13.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1:21" ht="13.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1:21" ht="13.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1:21" ht="13.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1:21" ht="13.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1:21" ht="13.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1:21" ht="13.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1:21" ht="13.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1:21" ht="13.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1:21" ht="13.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1:21" ht="13.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1:21" ht="13.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1:21" ht="13.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1:21" ht="13.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1:21" ht="13.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1:21" ht="13.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1:21" ht="13.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1:21" ht="13.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1:21" ht="13.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1:21" ht="13.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1:21" ht="13.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1:21" ht="13.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1:21" ht="13.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1:21" ht="13.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1:21" ht="13.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1:21" ht="13.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1:21" ht="13.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1:21" ht="13.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1:21" ht="13.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1:21" ht="13.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1:21" ht="13.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1:21" ht="13.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1:21" ht="13.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1:21" ht="13.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1:21" ht="13.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1:21" ht="13.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1:21" ht="13.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1:21" ht="13.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1:21" ht="13.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1:21" ht="13.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1:21" ht="13.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1:21" ht="13.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1:21" ht="13.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1:21" ht="13.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1:21" ht="13.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1:21" ht="13.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1:21" ht="13.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000000000000011" right="0.75000000000000011" top="1" bottom="1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8D08D"/>
  </sheetPr>
  <dimension ref="A1:Y1000"/>
  <sheetViews>
    <sheetView showGridLines="0" workbookViewId="0"/>
  </sheetViews>
  <sheetFormatPr baseColWidth="10" defaultColWidth="14.453125" defaultRowHeight="15" customHeight="1"/>
  <cols>
    <col min="1" max="1" width="3.26953125" customWidth="1"/>
    <col min="2" max="2" width="1.26953125" customWidth="1"/>
    <col min="3" max="3" width="4.453125" customWidth="1"/>
    <col min="4" max="4" width="35.26953125" customWidth="1"/>
    <col min="5" max="5" width="17.54296875" customWidth="1"/>
    <col min="6" max="6" width="15.81640625" customWidth="1"/>
    <col min="7" max="11" width="19.08984375" customWidth="1"/>
    <col min="12" max="25" width="16.453125" customWidth="1"/>
  </cols>
  <sheetData>
    <row r="1" spans="1:25" ht="30" customHeight="1">
      <c r="A1" s="285"/>
      <c r="B1" s="286"/>
      <c r="C1" s="287" t="s">
        <v>309</v>
      </c>
      <c r="D1" s="90"/>
      <c r="E1" s="288"/>
      <c r="F1" s="288"/>
      <c r="G1" s="288"/>
      <c r="H1" s="288"/>
      <c r="I1" s="288"/>
      <c r="J1" s="288"/>
      <c r="K1" s="288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17.25" customHeight="1">
      <c r="A2" s="44"/>
      <c r="B2" s="286"/>
      <c r="C2" s="289"/>
      <c r="D2" s="289"/>
      <c r="E2" s="289"/>
      <c r="F2" s="289"/>
      <c r="G2" s="290">
        <f>CEP!D6</f>
        <v>2021</v>
      </c>
      <c r="H2" s="290">
        <f>CEP!E6</f>
        <v>2022</v>
      </c>
      <c r="I2" s="290">
        <f>CEP!F6</f>
        <v>2023</v>
      </c>
      <c r="J2" s="290">
        <f>CEP!G6</f>
        <v>2024</v>
      </c>
      <c r="K2" s="290">
        <f>CEP!H6</f>
        <v>2025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5" ht="17.25" customHeight="1">
      <c r="A3" s="1"/>
      <c r="B3" s="286"/>
      <c r="C3" s="235"/>
      <c r="D3" s="90"/>
      <c r="E3" s="236"/>
      <c r="F3" s="237" t="s">
        <v>79</v>
      </c>
      <c r="G3" s="165" t="str">
        <f t="shared" ref="G3:K3" si="0">"Année"&amp;" "&amp;G2</f>
        <v>Année 2021</v>
      </c>
      <c r="H3" s="165" t="str">
        <f t="shared" si="0"/>
        <v>Année 2022</v>
      </c>
      <c r="I3" s="165" t="str">
        <f t="shared" si="0"/>
        <v>Année 2023</v>
      </c>
      <c r="J3" s="165" t="str">
        <f t="shared" si="0"/>
        <v>Année 2024</v>
      </c>
      <c r="K3" s="165" t="str">
        <f t="shared" si="0"/>
        <v>Année 2025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3.5" customHeight="1">
      <c r="A4" s="44"/>
      <c r="B4" s="286"/>
      <c r="C4" s="292"/>
      <c r="D4" s="292"/>
      <c r="E4" s="292"/>
      <c r="F4" s="292"/>
      <c r="G4" s="293"/>
      <c r="H4" s="293"/>
      <c r="I4" s="293"/>
      <c r="J4" s="293"/>
      <c r="K4" s="293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15.75" customHeight="1">
      <c r="A5" s="44"/>
      <c r="B5" s="286"/>
      <c r="C5" s="292"/>
      <c r="D5" s="294"/>
      <c r="E5" s="22"/>
      <c r="F5" s="295"/>
      <c r="G5" s="296"/>
      <c r="H5" s="296"/>
      <c r="I5" s="296"/>
      <c r="J5" s="296"/>
      <c r="K5" s="296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ht="15.75" customHeight="1">
      <c r="A6" s="44"/>
      <c r="B6" s="286"/>
      <c r="C6" s="292"/>
      <c r="D6" s="294" t="s">
        <v>310</v>
      </c>
      <c r="E6" s="22"/>
      <c r="F6" s="295" t="s">
        <v>138</v>
      </c>
      <c r="G6" s="297">
        <f>IF(CEP!D12&gt;0,CEP!D12,0)</f>
        <v>24235400</v>
      </c>
      <c r="H6" s="297">
        <f>IF(CEP!E12&gt;0,CEP!E12,0)</f>
        <v>30690570</v>
      </c>
      <c r="I6" s="297">
        <f>IF(CEP!F12&gt;0,CEP!F12,0)</f>
        <v>38041945.100000001</v>
      </c>
      <c r="J6" s="297">
        <f>IF(CEP!G12&gt;0,CEP!G12,0)</f>
        <v>46410847.952999994</v>
      </c>
      <c r="K6" s="297">
        <f>IF(CEP!H12&gt;0,CEP!H12,0)</f>
        <v>55935373.206590012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15.75" customHeight="1">
      <c r="A7" s="44"/>
      <c r="B7" s="286"/>
      <c r="C7" s="292"/>
      <c r="D7" s="294" t="s">
        <v>311</v>
      </c>
      <c r="E7" s="22"/>
      <c r="F7" s="295" t="s">
        <v>138</v>
      </c>
      <c r="G7" s="298">
        <f>+-Cashflow!F34</f>
        <v>-4020378.0821917807</v>
      </c>
      <c r="H7" s="298">
        <f>+-Cashflow!G34</f>
        <v>-589917.53424657648</v>
      </c>
      <c r="I7" s="298">
        <f>+-Cashflow!H34</f>
        <v>-665358.89589041006</v>
      </c>
      <c r="J7" s="298">
        <f>+-Cashflow!I34</f>
        <v>-750825.40249314997</v>
      </c>
      <c r="K7" s="298">
        <f>+-Cashflow!J34</f>
        <v>-847697.1767597273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ht="15.75" customHeight="1">
      <c r="A8" s="299"/>
      <c r="B8" s="286"/>
      <c r="C8" s="292"/>
      <c r="D8" s="294" t="s">
        <v>312</v>
      </c>
      <c r="E8" s="22"/>
      <c r="F8" s="295" t="s">
        <v>138</v>
      </c>
      <c r="G8" s="298">
        <f>-(Amort_Immobilisation!G12+Amort_Immobilisation!G21+Amort_Immobilisation!G30)</f>
        <v>-37300000</v>
      </c>
      <c r="H8" s="298">
        <v>0</v>
      </c>
      <c r="I8" s="298">
        <v>0</v>
      </c>
      <c r="J8" s="298">
        <v>0</v>
      </c>
      <c r="K8" s="298">
        <v>0</v>
      </c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15.75" customHeight="1">
      <c r="A9" s="380"/>
      <c r="B9" s="286"/>
      <c r="C9" s="292"/>
      <c r="D9" s="294" t="s">
        <v>313</v>
      </c>
      <c r="E9" s="22"/>
      <c r="F9" s="295" t="s">
        <v>138</v>
      </c>
      <c r="G9" s="298">
        <f>+IF(CEP!D12&lt;0,CEP!D12,0)</f>
        <v>0</v>
      </c>
      <c r="H9" s="298">
        <f>+IF(CEP!E12&lt;0,CEP!E12,0)</f>
        <v>0</v>
      </c>
      <c r="I9" s="298">
        <f>+IF(CEP!F12&lt;0,CEP!F12,0)</f>
        <v>0</v>
      </c>
      <c r="J9" s="298">
        <f>+IF(CEP!G12&lt;0,CEP!G12,0)</f>
        <v>0</v>
      </c>
      <c r="K9" s="298">
        <f>+IF(CEP!H12&lt;0,CEP!H12,0)</f>
        <v>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15.75" customHeight="1">
      <c r="A10" s="381"/>
      <c r="B10" s="300"/>
      <c r="C10" s="301"/>
      <c r="D10" s="22" t="s">
        <v>314</v>
      </c>
      <c r="E10" s="22"/>
      <c r="F10" s="295"/>
      <c r="G10" s="302">
        <f t="shared" ref="G10:K10" si="1">SUM(G6:G9)</f>
        <v>-17084978.08219178</v>
      </c>
      <c r="H10" s="302">
        <f t="shared" si="1"/>
        <v>30100652.465753425</v>
      </c>
      <c r="I10" s="302">
        <f t="shared" si="1"/>
        <v>37376586.204109594</v>
      </c>
      <c r="J10" s="302">
        <f t="shared" si="1"/>
        <v>45660022.550506845</v>
      </c>
      <c r="K10" s="302">
        <f t="shared" si="1"/>
        <v>55087676.029830284</v>
      </c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</row>
    <row r="11" spans="1:25" ht="15.75" customHeight="1">
      <c r="A11" s="381"/>
      <c r="B11" s="286"/>
      <c r="C11" s="292"/>
      <c r="D11" s="294" t="s">
        <v>256</v>
      </c>
      <c r="E11" s="22"/>
      <c r="F11" s="295"/>
      <c r="G11" s="298">
        <f>CEP!D16</f>
        <v>13856750.476314455</v>
      </c>
      <c r="H11" s="298">
        <f>CEP!E16</f>
        <v>19755351.273295514</v>
      </c>
      <c r="I11" s="298">
        <f>CEP!F16</f>
        <v>26433300.903781205</v>
      </c>
      <c r="J11" s="298">
        <f>CEP!G16</f>
        <v>33986615.152667291</v>
      </c>
      <c r="K11" s="298">
        <f>CEP!H16</f>
        <v>42605401.802567415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ht="12.75" customHeight="1">
      <c r="A12" s="304"/>
      <c r="B12" s="305"/>
      <c r="C12" s="294"/>
      <c r="D12" s="294"/>
      <c r="E12" s="294"/>
      <c r="F12" s="306"/>
      <c r="G12" s="307"/>
      <c r="H12" s="308"/>
      <c r="I12" s="308"/>
      <c r="J12" s="309"/>
      <c r="K12" s="309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ht="12.75" customHeight="1">
      <c r="A13" s="380"/>
      <c r="B13" s="305"/>
      <c r="C13" s="294"/>
      <c r="D13" s="310" t="s">
        <v>315</v>
      </c>
      <c r="E13" s="310"/>
      <c r="F13" s="311">
        <f>IRR(G10:K10)</f>
        <v>1.9412581109295761</v>
      </c>
      <c r="G13" s="312"/>
      <c r="H13" s="308"/>
      <c r="I13" s="308"/>
      <c r="J13" s="309"/>
      <c r="K13" s="309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ht="12.75" customHeight="1">
      <c r="A14" s="381"/>
      <c r="B14" s="305"/>
      <c r="C14" s="294"/>
      <c r="D14" s="22"/>
      <c r="E14" s="22"/>
      <c r="F14" s="313"/>
      <c r="G14" s="312"/>
      <c r="H14" s="308"/>
      <c r="I14" s="308"/>
      <c r="J14" s="309"/>
      <c r="K14" s="309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ht="12.75" customHeight="1">
      <c r="A15" s="1"/>
      <c r="B15" s="305"/>
      <c r="C15" s="294"/>
      <c r="D15" s="294"/>
      <c r="E15" s="294"/>
      <c r="F15" s="306"/>
      <c r="G15" s="308"/>
      <c r="H15" s="308"/>
      <c r="I15" s="308"/>
      <c r="J15" s="309"/>
      <c r="K15" s="309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ht="15.75" customHeight="1">
      <c r="A16" s="1"/>
      <c r="B16" s="286"/>
      <c r="C16" s="292"/>
      <c r="D16" s="294" t="s">
        <v>316</v>
      </c>
      <c r="E16" s="22"/>
      <c r="F16" s="295" t="s">
        <v>138</v>
      </c>
      <c r="G16" s="297">
        <f>-CEP!D17</f>
        <v>-4157025.1428943365</v>
      </c>
      <c r="H16" s="297">
        <f>-CEP!E17</f>
        <v>-5926605.3819886539</v>
      </c>
      <c r="I16" s="297">
        <f>-CEP!F17</f>
        <v>-7929990.2711343616</v>
      </c>
      <c r="J16" s="297">
        <f>-CEP!G17</f>
        <v>-10195984.545800187</v>
      </c>
      <c r="K16" s="297">
        <f>-CEP!H17</f>
        <v>-12781620.540770223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ht="15.75" customHeight="1">
      <c r="A17" s="1"/>
      <c r="B17" s="286"/>
      <c r="C17" s="292"/>
      <c r="D17" s="294" t="s">
        <v>317</v>
      </c>
      <c r="E17" s="22"/>
      <c r="F17" s="295"/>
      <c r="G17" s="298">
        <f t="shared" ref="G17:K17" si="2">G10+G16</f>
        <v>-21242003.225086115</v>
      </c>
      <c r="H17" s="298">
        <f t="shared" si="2"/>
        <v>24174047.083764769</v>
      </c>
      <c r="I17" s="298">
        <f t="shared" si="2"/>
        <v>29446595.932975233</v>
      </c>
      <c r="J17" s="298">
        <f t="shared" si="2"/>
        <v>35464038.004706658</v>
      </c>
      <c r="K17" s="298">
        <f t="shared" si="2"/>
        <v>42306055.489060059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ht="13.5" customHeight="1">
      <c r="A18" s="1"/>
      <c r="B18" s="305"/>
      <c r="C18" s="294"/>
      <c r="D18" s="314"/>
      <c r="E18" s="294"/>
      <c r="F18" s="306"/>
      <c r="G18" s="309"/>
      <c r="H18" s="309"/>
      <c r="I18" s="309"/>
      <c r="J18" s="309"/>
      <c r="K18" s="30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ht="12.75" customHeight="1">
      <c r="A19" s="1"/>
      <c r="B19" s="305"/>
      <c r="C19" s="294"/>
      <c r="D19" s="310" t="s">
        <v>318</v>
      </c>
      <c r="E19" s="310"/>
      <c r="F19" s="311">
        <f>IRR(G17:K17)</f>
        <v>1.2548782817746003</v>
      </c>
      <c r="G19" s="312"/>
      <c r="H19" s="308"/>
      <c r="I19" s="308"/>
      <c r="J19" s="309"/>
      <c r="K19" s="30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ht="12.75" customHeight="1">
      <c r="A20" s="1"/>
      <c r="B20" s="305"/>
      <c r="C20" s="294"/>
      <c r="D20" s="294"/>
      <c r="E20" s="294"/>
      <c r="F20" s="294"/>
      <c r="G20" s="308"/>
      <c r="H20" s="308"/>
      <c r="I20" s="308"/>
      <c r="J20" s="309"/>
      <c r="K20" s="30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ht="13.5" customHeight="1">
      <c r="A21" s="1"/>
      <c r="B21" s="305"/>
      <c r="C21" s="61"/>
      <c r="D21" s="61"/>
      <c r="E21" s="61"/>
      <c r="F21" s="61"/>
      <c r="G21" s="315"/>
      <c r="H21" s="315"/>
      <c r="I21" s="315"/>
      <c r="J21" s="315"/>
      <c r="K21" s="315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ht="13.5" customHeight="1">
      <c r="A22" s="1"/>
      <c r="B22" s="305"/>
      <c r="C22" s="61"/>
      <c r="D22" s="310" t="s">
        <v>319</v>
      </c>
      <c r="E22" s="310"/>
      <c r="F22" s="316">
        <f t="array" ref="F22">NPV(F51,G10,H10:K10)</f>
        <v>291398868.02156848</v>
      </c>
      <c r="G22" s="315"/>
      <c r="H22" s="315"/>
      <c r="I22" s="315"/>
      <c r="J22" s="315"/>
      <c r="K22" s="315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ht="13.5" customHeight="1">
      <c r="A23" s="1"/>
      <c r="B23" s="305"/>
      <c r="C23" s="61"/>
      <c r="D23" s="61"/>
      <c r="E23" s="61"/>
      <c r="F23" s="61"/>
      <c r="G23" s="315"/>
      <c r="H23" s="315"/>
      <c r="I23" s="315"/>
      <c r="J23" s="315"/>
      <c r="K23" s="315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ht="13.5" customHeight="1">
      <c r="A24" s="1"/>
      <c r="B24" s="305"/>
      <c r="C24" s="61"/>
      <c r="D24" s="61"/>
      <c r="E24" s="61"/>
      <c r="F24" s="61"/>
      <c r="G24" s="315"/>
      <c r="H24" s="315"/>
      <c r="I24" s="315"/>
      <c r="J24" s="315"/>
      <c r="K24" s="315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ht="13.5" customHeight="1">
      <c r="A25" s="1"/>
      <c r="B25" s="305"/>
      <c r="C25" s="61"/>
      <c r="D25" s="310" t="s">
        <v>320</v>
      </c>
      <c r="E25" s="61"/>
      <c r="F25" s="61"/>
      <c r="G25" s="315"/>
      <c r="H25" s="315"/>
      <c r="I25" s="315"/>
      <c r="J25" s="315"/>
      <c r="K25" s="315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ht="15.75" customHeight="1">
      <c r="A26" s="1"/>
      <c r="B26" s="286"/>
      <c r="C26" s="292"/>
      <c r="D26" s="294" t="s">
        <v>321</v>
      </c>
      <c r="E26" s="22"/>
      <c r="F26" s="295"/>
      <c r="G26" s="298">
        <f>G10</f>
        <v>-17084978.08219178</v>
      </c>
      <c r="H26" s="298">
        <f t="shared" ref="H26:K26" si="3">G26+H10</f>
        <v>13015674.383561645</v>
      </c>
      <c r="I26" s="298">
        <f t="shared" si="3"/>
        <v>50392260.587671235</v>
      </c>
      <c r="J26" s="298">
        <f t="shared" si="3"/>
        <v>96052283.13817808</v>
      </c>
      <c r="K26" s="298">
        <f t="shared" si="3"/>
        <v>151139959.16800836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ht="13.5" customHeight="1">
      <c r="A27" s="1"/>
      <c r="B27" s="305"/>
      <c r="C27" s="61"/>
      <c r="D27" s="317" t="s">
        <v>322</v>
      </c>
      <c r="E27" s="318" t="s">
        <v>323</v>
      </c>
      <c r="F27" s="319">
        <f>MATCH(0,G26:K26,1)</f>
        <v>1</v>
      </c>
      <c r="G27" s="315"/>
      <c r="H27" s="315"/>
      <c r="I27" s="315"/>
      <c r="J27" s="315"/>
      <c r="K27" s="315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t="13.5" customHeight="1">
      <c r="A28" s="1"/>
      <c r="B28" s="305"/>
      <c r="C28" s="61"/>
      <c r="D28" s="61"/>
      <c r="E28" s="61"/>
      <c r="F28" s="61"/>
      <c r="G28" s="315"/>
      <c r="H28" s="315"/>
      <c r="I28" s="315"/>
      <c r="J28" s="315"/>
      <c r="K28" s="315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ht="13.5" customHeight="1">
      <c r="A29" s="1"/>
      <c r="B29" s="305"/>
      <c r="C29" s="61"/>
      <c r="D29" s="317" t="s">
        <v>324</v>
      </c>
      <c r="E29" s="318"/>
      <c r="F29" s="320">
        <f>F22/-G17+1</f>
        <v>14.718050267379486</v>
      </c>
      <c r="G29" s="315"/>
      <c r="H29" s="315"/>
      <c r="I29" s="315"/>
      <c r="J29" s="315"/>
      <c r="K29" s="315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ht="13.5" customHeight="1">
      <c r="A30" s="1"/>
      <c r="B30" s="305"/>
      <c r="C30" s="61"/>
      <c r="D30" s="61"/>
      <c r="E30" s="61"/>
      <c r="F30" s="61"/>
      <c r="G30" s="315"/>
      <c r="H30" s="315"/>
      <c r="I30" s="315"/>
      <c r="J30" s="315"/>
      <c r="K30" s="315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ht="13.5" customHeight="1">
      <c r="A31" s="1"/>
      <c r="B31" s="305"/>
      <c r="C31" s="61"/>
      <c r="D31" s="61"/>
      <c r="E31" s="61"/>
      <c r="F31" s="61"/>
      <c r="G31" s="315"/>
      <c r="H31" s="315"/>
      <c r="I31" s="315"/>
      <c r="J31" s="315"/>
      <c r="K31" s="315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ht="13.5" customHeight="1">
      <c r="A32" s="1"/>
      <c r="B32" s="305"/>
      <c r="C32" s="61"/>
      <c r="D32" s="321" t="s">
        <v>325</v>
      </c>
      <c r="E32" s="322"/>
      <c r="F32" s="322"/>
      <c r="G32" s="323"/>
      <c r="H32" s="323"/>
      <c r="I32" s="323"/>
      <c r="J32" s="323"/>
      <c r="K32" s="323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ht="13.5" customHeight="1">
      <c r="A33" s="380"/>
      <c r="B33" s="305"/>
      <c r="C33" s="61"/>
      <c r="D33" s="324" t="s">
        <v>326</v>
      </c>
      <c r="E33" s="325"/>
      <c r="F33" s="325"/>
      <c r="G33" s="326">
        <f t="shared" ref="G33:K33" si="4">G6+G7</f>
        <v>20215021.91780822</v>
      </c>
      <c r="H33" s="326">
        <f t="shared" si="4"/>
        <v>30100652.465753425</v>
      </c>
      <c r="I33" s="326">
        <f t="shared" si="4"/>
        <v>37376586.204109594</v>
      </c>
      <c r="J33" s="326">
        <f t="shared" si="4"/>
        <v>45660022.550506845</v>
      </c>
      <c r="K33" s="326">
        <f t="shared" si="4"/>
        <v>55087676.029830284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ht="13.5" customHeight="1">
      <c r="A34" s="381"/>
      <c r="B34" s="305"/>
      <c r="C34" s="61"/>
      <c r="D34" s="294" t="s">
        <v>327</v>
      </c>
      <c r="E34" s="61"/>
      <c r="F34" s="61"/>
      <c r="G34" s="298">
        <f>'TA _Invest'!J18+'TA _Exploitation'!J18</f>
        <v>3810135.0004814211</v>
      </c>
      <c r="H34" s="298">
        <f>'TA _Invest'!K18+'TA _Exploitation'!K18</f>
        <v>3044076.2845627083</v>
      </c>
      <c r="I34" s="298">
        <f>'TA _Invest'!L18+'TA _Exploitation'!L18</f>
        <v>2248678.9205341553</v>
      </c>
      <c r="J34" s="298">
        <f>'TA _Invest'!M18+'TA _Exploitation'!M18</f>
        <v>1433090.3164202468</v>
      </c>
      <c r="K34" s="298">
        <f>'TA _Invest'!N18+'TA _Exploitation'!N18</f>
        <v>527351.7127303523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ht="13.5" customHeight="1">
      <c r="A35" s="381"/>
      <c r="B35" s="305"/>
      <c r="C35" s="61"/>
      <c r="D35" s="294" t="s">
        <v>328</v>
      </c>
      <c r="E35" s="61"/>
      <c r="F35" s="61"/>
      <c r="G35" s="298">
        <f>'TA _Invest'!J17+'TA _Exploitation'!J17</f>
        <v>6930546.4417535942</v>
      </c>
      <c r="H35" s="298">
        <f>'TA _Invest'!K17+'TA _Exploitation'!K17</f>
        <v>7696605.1576723084</v>
      </c>
      <c r="I35" s="298">
        <f>'TA _Invest'!L17+'TA _Exploitation'!L17</f>
        <v>7378644.1962187951</v>
      </c>
      <c r="J35" s="298">
        <f>'TA _Invest'!M17+'TA _Exploitation'!M17</f>
        <v>8194232.8003327046</v>
      </c>
      <c r="K35" s="298">
        <f>'TA _Invest'!N17+'TA _Exploitation'!N17</f>
        <v>9099971.4040225986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ht="13.5" customHeight="1">
      <c r="A36" s="381"/>
      <c r="B36" s="305"/>
      <c r="C36" s="86"/>
      <c r="D36" s="327" t="s">
        <v>329</v>
      </c>
      <c r="E36" s="328"/>
      <c r="F36" s="328"/>
      <c r="G36" s="298">
        <f t="shared" ref="G36:K36" si="5">SUM(G34:G35)</f>
        <v>10740681.442235015</v>
      </c>
      <c r="H36" s="298">
        <f t="shared" si="5"/>
        <v>10740681.442235017</v>
      </c>
      <c r="I36" s="298">
        <f t="shared" si="5"/>
        <v>9627323.1167529505</v>
      </c>
      <c r="J36" s="298">
        <f t="shared" si="5"/>
        <v>9627323.1167529523</v>
      </c>
      <c r="K36" s="298">
        <f t="shared" si="5"/>
        <v>9627323.1167529505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ht="13.5" customHeight="1">
      <c r="A37" s="381"/>
      <c r="B37" s="305"/>
      <c r="C37" s="61"/>
      <c r="D37" s="61"/>
      <c r="E37" s="61"/>
      <c r="F37" s="61"/>
      <c r="G37" s="315"/>
      <c r="H37" s="315"/>
      <c r="I37" s="315"/>
      <c r="J37" s="315"/>
      <c r="K37" s="315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ht="13.5" customHeight="1">
      <c r="A38" s="381"/>
      <c r="B38" s="329"/>
      <c r="C38" s="330"/>
      <c r="D38" s="330"/>
      <c r="E38" s="330"/>
      <c r="F38" s="330"/>
      <c r="G38" s="331">
        <f t="shared" ref="G38:K38" si="6">IF((G36&gt;0),G33/G36," ")</f>
        <v>1.8820986383897167</v>
      </c>
      <c r="H38" s="331">
        <f t="shared" si="6"/>
        <v>2.8024900121690801</v>
      </c>
      <c r="I38" s="331">
        <f t="shared" si="6"/>
        <v>3.8823446300528612</v>
      </c>
      <c r="J38" s="331">
        <f t="shared" si="6"/>
        <v>4.7427537225848084</v>
      </c>
      <c r="K38" s="331">
        <f t="shared" si="6"/>
        <v>5.7220138310274091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ht="13.5" customHeight="1">
      <c r="A39" s="381"/>
      <c r="B39" s="305"/>
      <c r="C39" s="61"/>
      <c r="D39" s="310" t="s">
        <v>330</v>
      </c>
      <c r="E39" s="332"/>
      <c r="F39" s="332">
        <f>AVERAGE(H38:K38)</f>
        <v>4.2874005489585398</v>
      </c>
      <c r="G39" s="315"/>
      <c r="H39" s="315"/>
      <c r="I39" s="315"/>
      <c r="J39" s="315"/>
      <c r="K39" s="315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ht="13.5" customHeight="1">
      <c r="A40" s="381"/>
      <c r="B40" s="305"/>
      <c r="C40" s="61"/>
      <c r="D40" s="61"/>
      <c r="E40" s="61"/>
      <c r="F40" s="61"/>
      <c r="G40" s="315"/>
      <c r="H40" s="315"/>
      <c r="I40" s="315"/>
      <c r="J40" s="315"/>
      <c r="K40" s="315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ht="13.5" customHeight="1">
      <c r="A41" s="381"/>
      <c r="B41" s="305"/>
      <c r="C41" s="61"/>
      <c r="D41" s="310" t="s">
        <v>331</v>
      </c>
      <c r="E41" s="332"/>
      <c r="F41" s="332">
        <f>MIN(H38:K38)</f>
        <v>2.8024900121690801</v>
      </c>
      <c r="G41" s="315"/>
      <c r="H41" s="315"/>
      <c r="I41" s="315"/>
      <c r="J41" s="315"/>
      <c r="K41" s="315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ht="13.5" customHeight="1">
      <c r="A42" s="381"/>
      <c r="B42" s="305"/>
      <c r="C42" s="61"/>
      <c r="D42" s="61"/>
      <c r="E42" s="61"/>
      <c r="F42" s="61"/>
      <c r="G42" s="315"/>
      <c r="H42" s="315"/>
      <c r="I42" s="315"/>
      <c r="J42" s="315"/>
      <c r="K42" s="315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ht="13.5" customHeight="1">
      <c r="A43" s="381"/>
      <c r="B43" s="305"/>
      <c r="C43" s="61"/>
      <c r="D43" s="61"/>
      <c r="E43" s="61"/>
      <c r="F43" s="61"/>
      <c r="G43" s="315"/>
      <c r="H43" s="315"/>
      <c r="I43" s="315"/>
      <c r="J43" s="315"/>
      <c r="K43" s="315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ht="13.5" customHeight="1">
      <c r="A44" s="381"/>
      <c r="B44" s="305"/>
      <c r="C44" s="61"/>
      <c r="D44" s="321" t="s">
        <v>332</v>
      </c>
      <c r="E44" s="292"/>
      <c r="F44" s="322"/>
      <c r="G44" s="323"/>
      <c r="H44" s="323"/>
      <c r="I44" s="323"/>
      <c r="J44" s="323"/>
      <c r="K44" s="323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ht="13.5" customHeight="1">
      <c r="A45" s="381"/>
      <c r="B45" s="305"/>
      <c r="C45" s="61"/>
      <c r="D45" s="324" t="s">
        <v>333</v>
      </c>
      <c r="E45" s="333"/>
      <c r="F45" s="325"/>
      <c r="G45" s="334">
        <f>'TA _Invest'!B2+'TA _Exploitation'!B2</f>
        <v>39300000</v>
      </c>
      <c r="H45" s="334">
        <v>0</v>
      </c>
      <c r="I45" s="334">
        <v>0</v>
      </c>
      <c r="J45" s="334">
        <v>0</v>
      </c>
      <c r="K45" s="334">
        <v>0</v>
      </c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ht="13.5" customHeight="1">
      <c r="A46" s="381"/>
      <c r="B46" s="305"/>
      <c r="C46" s="61"/>
      <c r="D46" s="294" t="str">
        <f t="shared" ref="D46:D47" si="7">" - "&amp;D34</f>
        <v xml:space="preserve"> - Intérêts</v>
      </c>
      <c r="E46" s="22"/>
      <c r="F46" s="61"/>
      <c r="G46" s="335">
        <f>-('TA _Invest'!J18)-('TA _Exploitation'!J18)</f>
        <v>-3810135.0004814211</v>
      </c>
      <c r="H46" s="335">
        <f>-('TA _Invest'!K18)-('TA _Exploitation'!K18)</f>
        <v>-3044076.2845627083</v>
      </c>
      <c r="I46" s="335">
        <f>-('TA _Invest'!L18)-('TA _Exploitation'!L18)</f>
        <v>-2248678.9205341553</v>
      </c>
      <c r="J46" s="335">
        <f>-('TA _Invest'!M18)-('TA _Exploitation'!M18)</f>
        <v>-1433090.3164202468</v>
      </c>
      <c r="K46" s="335">
        <f>-('TA _Invest'!N18)-('TA _Exploitation'!N18)</f>
        <v>-527351.7127303523</v>
      </c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ht="13.5" customHeight="1">
      <c r="A47" s="381"/>
      <c r="B47" s="305"/>
      <c r="C47" s="61"/>
      <c r="D47" s="294" t="str">
        <f t="shared" si="7"/>
        <v xml:space="preserve"> - Amortissement du principal</v>
      </c>
      <c r="E47" s="22"/>
      <c r="F47" s="61"/>
      <c r="G47" s="335">
        <f>-('TA _Invest'!J17)-('TA _Exploitation'!J17)</f>
        <v>-6930546.4417535942</v>
      </c>
      <c r="H47" s="335">
        <f>-('TA _Invest'!K17)-('TA _Exploitation'!K17)</f>
        <v>-7696605.1576723084</v>
      </c>
      <c r="I47" s="335">
        <f>-('TA _Invest'!L17)-('TA _Exploitation'!L17)</f>
        <v>-7378644.1962187951</v>
      </c>
      <c r="J47" s="335">
        <f>-('TA _Invest'!M17)-('TA _Exploitation'!M17)</f>
        <v>-8194232.8003327046</v>
      </c>
      <c r="K47" s="335">
        <f>-('TA _Invest'!N17)-('TA _Exploitation'!N17)</f>
        <v>-9099971.4040225986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ht="13.5" customHeight="1">
      <c r="A48" s="381"/>
      <c r="B48" s="305"/>
      <c r="C48" s="61"/>
      <c r="D48" s="336" t="s">
        <v>334</v>
      </c>
      <c r="E48" s="22"/>
      <c r="F48" s="61"/>
      <c r="G48" s="335">
        <f t="shared" ref="G48:K48" si="8">SUM(G45:G47)</f>
        <v>28559318.557764985</v>
      </c>
      <c r="H48" s="335">
        <f t="shared" si="8"/>
        <v>-10740681.442235017</v>
      </c>
      <c r="I48" s="335">
        <f t="shared" si="8"/>
        <v>-9627323.1167529505</v>
      </c>
      <c r="J48" s="335">
        <f t="shared" si="8"/>
        <v>-9627323.1167529523</v>
      </c>
      <c r="K48" s="335">
        <f t="shared" si="8"/>
        <v>-9627323.1167529505</v>
      </c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ht="13.5" customHeight="1">
      <c r="A49" s="381"/>
      <c r="B49" s="305"/>
      <c r="C49" s="86"/>
      <c r="D49" s="86"/>
      <c r="E49" s="328"/>
      <c r="F49" s="328"/>
      <c r="G49" s="315"/>
      <c r="H49" s="315"/>
      <c r="I49" s="315"/>
      <c r="J49" s="315"/>
      <c r="K49" s="315"/>
      <c r="L49" s="315"/>
      <c r="M49" s="315"/>
      <c r="N49" s="315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ht="13.5" customHeight="1">
      <c r="A50" s="381"/>
      <c r="B50" s="305"/>
      <c r="C50" s="61"/>
      <c r="D50" s="294"/>
      <c r="E50" s="22"/>
      <c r="F50" s="61"/>
      <c r="G50" s="315"/>
      <c r="H50" s="315"/>
      <c r="I50" s="315"/>
      <c r="J50" s="315"/>
      <c r="K50" s="315"/>
      <c r="L50" s="315"/>
      <c r="M50" s="315"/>
      <c r="N50" s="31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ht="13.5" customHeight="1">
      <c r="A51" s="381"/>
      <c r="B51" s="305"/>
      <c r="C51" s="61"/>
      <c r="D51" s="310" t="s">
        <v>335</v>
      </c>
      <c r="E51" s="310"/>
      <c r="F51" s="311">
        <f>-(IRR(G48:K48))</f>
        <v>-0.14813866921548358</v>
      </c>
      <c r="G51" s="315"/>
      <c r="H51" s="315"/>
      <c r="I51" s="315"/>
      <c r="J51" s="315"/>
      <c r="K51" s="315"/>
      <c r="L51" s="315"/>
      <c r="M51" s="315"/>
      <c r="N51" s="315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ht="13.5" customHeight="1">
      <c r="A52" s="381"/>
      <c r="B52" s="305"/>
      <c r="C52" s="61"/>
      <c r="D52" s="22"/>
      <c r="E52" s="22"/>
      <c r="F52" s="61"/>
      <c r="G52" s="315"/>
      <c r="H52" s="315"/>
      <c r="I52" s="315"/>
      <c r="J52" s="315"/>
      <c r="K52" s="315"/>
      <c r="L52" s="315"/>
      <c r="M52" s="315"/>
      <c r="N52" s="315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ht="13.5" customHeight="1">
      <c r="A53" s="381"/>
      <c r="B53" s="305"/>
      <c r="C53" s="61"/>
      <c r="D53" s="310" t="s">
        <v>336</v>
      </c>
      <c r="E53" s="310"/>
      <c r="F53" s="332">
        <f t="array" ref="F53">NPV(F51,G33:K33)/NPV(F51,G36:K36)</f>
        <v>4.0516871937786192</v>
      </c>
      <c r="G53" s="315"/>
      <c r="H53" s="315"/>
      <c r="I53" s="315"/>
      <c r="J53" s="315"/>
      <c r="K53" s="315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ht="13.5" customHeight="1">
      <c r="A54" s="381"/>
      <c r="B54" s="305"/>
      <c r="C54" s="61"/>
      <c r="D54" s="22"/>
      <c r="E54" s="22"/>
      <c r="F54" s="61"/>
      <c r="G54" s="315"/>
      <c r="H54" s="315"/>
      <c r="I54" s="315"/>
      <c r="J54" s="315"/>
      <c r="K54" s="315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ht="13.5" customHeight="1">
      <c r="A55" s="337"/>
      <c r="B55" s="338"/>
      <c r="C55" s="61"/>
      <c r="D55" s="61"/>
      <c r="E55" s="61"/>
      <c r="F55" s="61"/>
      <c r="G55" s="315"/>
      <c r="H55" s="315"/>
      <c r="I55" s="315"/>
      <c r="J55" s="315"/>
      <c r="K55" s="315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ht="13.5" customHeight="1">
      <c r="A56" s="337"/>
      <c r="B56" s="338"/>
      <c r="C56" s="61"/>
      <c r="D56" s="61"/>
      <c r="E56" s="61"/>
      <c r="F56" s="61"/>
      <c r="G56" s="315"/>
      <c r="H56" s="315"/>
      <c r="I56" s="315"/>
      <c r="J56" s="315"/>
      <c r="K56" s="315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ht="13.5" customHeight="1">
      <c r="A57" s="337"/>
      <c r="B57" s="338"/>
      <c r="C57" s="61"/>
      <c r="D57" s="61"/>
      <c r="E57" s="61"/>
      <c r="F57" s="61"/>
      <c r="G57" s="61"/>
      <c r="H57" s="61"/>
      <c r="I57" s="61"/>
      <c r="J57" s="61"/>
      <c r="K57" s="61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ht="13.5" customHeight="1">
      <c r="A58" s="337"/>
      <c r="B58" s="338"/>
      <c r="C58" s="61"/>
      <c r="D58" s="61"/>
      <c r="E58" s="61"/>
      <c r="F58" s="61"/>
      <c r="G58" s="61"/>
      <c r="H58" s="61"/>
      <c r="I58" s="61"/>
      <c r="J58" s="61"/>
      <c r="K58" s="61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ht="13.5" customHeight="1">
      <c r="A59" s="337"/>
      <c r="B59" s="338"/>
      <c r="C59" s="61"/>
      <c r="D59" s="61"/>
      <c r="E59" s="61"/>
      <c r="F59" s="61"/>
      <c r="G59" s="61"/>
      <c r="H59" s="61"/>
      <c r="I59" s="61"/>
      <c r="J59" s="61"/>
      <c r="K59" s="61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ht="13.5" customHeight="1">
      <c r="A60" s="337"/>
      <c r="B60" s="338"/>
      <c r="C60" s="61"/>
      <c r="D60" s="61"/>
      <c r="E60" s="61"/>
      <c r="F60" s="61"/>
      <c r="G60" s="61"/>
      <c r="H60" s="61"/>
      <c r="I60" s="61"/>
      <c r="J60" s="61"/>
      <c r="K60" s="61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ht="13.5" customHeight="1">
      <c r="A61" s="337"/>
      <c r="B61" s="338"/>
      <c r="C61" s="61"/>
      <c r="D61" s="61"/>
      <c r="E61" s="61"/>
      <c r="F61" s="61"/>
      <c r="G61" s="61"/>
      <c r="H61" s="61"/>
      <c r="I61" s="61"/>
      <c r="J61" s="61"/>
      <c r="K61" s="61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ht="13.5" customHeight="1">
      <c r="A62" s="337"/>
      <c r="B62" s="338"/>
      <c r="C62" s="61"/>
      <c r="D62" s="61"/>
      <c r="E62" s="61"/>
      <c r="F62" s="61"/>
      <c r="G62" s="61"/>
      <c r="H62" s="61"/>
      <c r="I62" s="61"/>
      <c r="J62" s="61"/>
      <c r="K62" s="61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ht="13.5" customHeight="1">
      <c r="A63" s="337"/>
      <c r="B63" s="338"/>
      <c r="C63" s="61"/>
      <c r="D63" s="61"/>
      <c r="E63" s="61"/>
      <c r="F63" s="61"/>
      <c r="G63" s="61"/>
      <c r="H63" s="61"/>
      <c r="I63" s="61"/>
      <c r="J63" s="61"/>
      <c r="K63" s="61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ht="13.5" customHeight="1">
      <c r="A64" s="337"/>
      <c r="B64" s="338"/>
      <c r="C64" s="61"/>
      <c r="D64" s="61"/>
      <c r="E64" s="61"/>
      <c r="F64" s="61"/>
      <c r="G64" s="61"/>
      <c r="H64" s="61"/>
      <c r="I64" s="61"/>
      <c r="J64" s="61"/>
      <c r="K64" s="61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ht="13.5" customHeight="1">
      <c r="A65" s="337"/>
      <c r="B65" s="338"/>
      <c r="C65" s="61"/>
      <c r="D65" s="61"/>
      <c r="E65" s="61"/>
      <c r="F65" s="61"/>
      <c r="G65" s="61"/>
      <c r="H65" s="61"/>
      <c r="I65" s="61"/>
      <c r="J65" s="61"/>
      <c r="K65" s="61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ht="13.5" customHeight="1">
      <c r="A66" s="337"/>
      <c r="B66" s="338"/>
      <c r="C66" s="61"/>
      <c r="D66" s="61"/>
      <c r="E66" s="61"/>
      <c r="F66" s="61"/>
      <c r="G66" s="61"/>
      <c r="H66" s="61"/>
      <c r="I66" s="61"/>
      <c r="J66" s="61"/>
      <c r="K66" s="61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ht="13.5" customHeight="1">
      <c r="A67" s="337"/>
      <c r="B67" s="338"/>
      <c r="C67" s="61"/>
      <c r="D67" s="61"/>
      <c r="E67" s="61"/>
      <c r="F67" s="61"/>
      <c r="G67" s="61"/>
      <c r="H67" s="61"/>
      <c r="I67" s="61"/>
      <c r="J67" s="61"/>
      <c r="K67" s="61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ht="13.5" customHeight="1">
      <c r="A68" s="337"/>
      <c r="B68" s="338"/>
      <c r="C68" s="61"/>
      <c r="D68" s="61"/>
      <c r="E68" s="61"/>
      <c r="F68" s="61"/>
      <c r="G68" s="61"/>
      <c r="H68" s="61"/>
      <c r="I68" s="61"/>
      <c r="J68" s="61"/>
      <c r="K68" s="61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ht="13.5" customHeight="1">
      <c r="A69" s="337"/>
      <c r="B69" s="338"/>
      <c r="C69" s="61"/>
      <c r="D69" s="61"/>
      <c r="E69" s="61"/>
      <c r="F69" s="61"/>
      <c r="G69" s="61"/>
      <c r="H69" s="61"/>
      <c r="I69" s="61"/>
      <c r="J69" s="61"/>
      <c r="K69" s="61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ht="13.5" customHeight="1">
      <c r="A70" s="337"/>
      <c r="B70" s="338"/>
      <c r="C70" s="61"/>
      <c r="D70" s="61"/>
      <c r="E70" s="61"/>
      <c r="F70" s="61"/>
      <c r="G70" s="61"/>
      <c r="H70" s="61"/>
      <c r="I70" s="61"/>
      <c r="J70" s="61"/>
      <c r="K70" s="61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ht="13.5" customHeight="1">
      <c r="A71" s="337"/>
      <c r="B71" s="338"/>
      <c r="C71" s="61"/>
      <c r="D71" s="61"/>
      <c r="E71" s="61"/>
      <c r="F71" s="61"/>
      <c r="G71" s="61"/>
      <c r="H71" s="61"/>
      <c r="I71" s="61"/>
      <c r="J71" s="61"/>
      <c r="K71" s="61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ht="13.5" customHeight="1">
      <c r="A72" s="337"/>
      <c r="B72" s="338"/>
      <c r="C72" s="61"/>
      <c r="D72" s="61"/>
      <c r="E72" s="61"/>
      <c r="F72" s="61"/>
      <c r="G72" s="61"/>
      <c r="H72" s="61"/>
      <c r="I72" s="61"/>
      <c r="J72" s="61"/>
      <c r="K72" s="61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ht="13.5" customHeight="1">
      <c r="A73" s="337"/>
      <c r="B73" s="338"/>
      <c r="C73" s="61"/>
      <c r="D73" s="61"/>
      <c r="E73" s="61"/>
      <c r="F73" s="61"/>
      <c r="G73" s="61"/>
      <c r="H73" s="61"/>
      <c r="I73" s="61"/>
      <c r="J73" s="61"/>
      <c r="K73" s="61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ht="13.5" customHeight="1">
      <c r="A74" s="337"/>
      <c r="B74" s="338"/>
      <c r="C74" s="61"/>
      <c r="D74" s="61"/>
      <c r="E74" s="61"/>
      <c r="F74" s="61"/>
      <c r="G74" s="61"/>
      <c r="H74" s="61"/>
      <c r="I74" s="61"/>
      <c r="J74" s="61"/>
      <c r="K74" s="61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ht="13.5" customHeight="1">
      <c r="A75" s="337"/>
      <c r="B75" s="338"/>
      <c r="C75" s="61"/>
      <c r="D75" s="61"/>
      <c r="E75" s="61"/>
      <c r="F75" s="61"/>
      <c r="G75" s="61"/>
      <c r="H75" s="61"/>
      <c r="I75" s="61"/>
      <c r="J75" s="61"/>
      <c r="K75" s="61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ht="13.5" customHeight="1">
      <c r="A76" s="337"/>
      <c r="B76" s="338"/>
      <c r="C76" s="61"/>
      <c r="D76" s="61"/>
      <c r="E76" s="61"/>
      <c r="F76" s="61"/>
      <c r="G76" s="61"/>
      <c r="H76" s="61"/>
      <c r="I76" s="61"/>
      <c r="J76" s="61"/>
      <c r="K76" s="61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ht="13.5" customHeight="1">
      <c r="A77" s="337"/>
      <c r="B77" s="338"/>
      <c r="C77" s="61"/>
      <c r="D77" s="61"/>
      <c r="E77" s="61"/>
      <c r="F77" s="61"/>
      <c r="G77" s="61"/>
      <c r="H77" s="61"/>
      <c r="I77" s="61"/>
      <c r="J77" s="61"/>
      <c r="K77" s="6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ht="13.5" customHeight="1">
      <c r="A78" s="337"/>
      <c r="B78" s="338"/>
      <c r="C78" s="61"/>
      <c r="D78" s="61"/>
      <c r="E78" s="61"/>
      <c r="F78" s="61"/>
      <c r="G78" s="61"/>
      <c r="H78" s="61"/>
      <c r="I78" s="61"/>
      <c r="J78" s="61"/>
      <c r="K78" s="61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ht="13.5" customHeight="1">
      <c r="A79" s="337"/>
      <c r="B79" s="338"/>
      <c r="C79" s="61"/>
      <c r="D79" s="61"/>
      <c r="E79" s="61"/>
      <c r="F79" s="61"/>
      <c r="G79" s="61"/>
      <c r="H79" s="61"/>
      <c r="I79" s="61"/>
      <c r="J79" s="61"/>
      <c r="K79" s="61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ht="13.5" customHeight="1">
      <c r="A80" s="337"/>
      <c r="B80" s="338"/>
      <c r="C80" s="61"/>
      <c r="D80" s="61"/>
      <c r="E80" s="61"/>
      <c r="F80" s="61"/>
      <c r="G80" s="61"/>
      <c r="H80" s="61"/>
      <c r="I80" s="61"/>
      <c r="J80" s="61"/>
      <c r="K80" s="61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ht="13.5" customHeight="1">
      <c r="A81" s="337"/>
      <c r="B81" s="338"/>
      <c r="C81" s="61"/>
      <c r="D81" s="61"/>
      <c r="E81" s="61"/>
      <c r="F81" s="61"/>
      <c r="G81" s="61"/>
      <c r="H81" s="61"/>
      <c r="I81" s="61"/>
      <c r="J81" s="61"/>
      <c r="K81" s="61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ht="13.5" customHeight="1">
      <c r="A82" s="337"/>
      <c r="B82" s="338"/>
      <c r="C82" s="61"/>
      <c r="D82" s="61"/>
      <c r="E82" s="61"/>
      <c r="F82" s="61"/>
      <c r="G82" s="61"/>
      <c r="H82" s="61"/>
      <c r="I82" s="61"/>
      <c r="J82" s="61"/>
      <c r="K82" s="61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ht="13.5" customHeight="1">
      <c r="A83" s="337"/>
      <c r="B83" s="338"/>
      <c r="C83" s="61"/>
      <c r="D83" s="61"/>
      <c r="E83" s="61"/>
      <c r="F83" s="61"/>
      <c r="G83" s="61"/>
      <c r="H83" s="61"/>
      <c r="I83" s="61"/>
      <c r="J83" s="61"/>
      <c r="K83" s="61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ht="13.5" customHeight="1">
      <c r="A84" s="337"/>
      <c r="B84" s="338"/>
      <c r="C84" s="61"/>
      <c r="D84" s="61"/>
      <c r="E84" s="61"/>
      <c r="F84" s="61"/>
      <c r="G84" s="61"/>
      <c r="H84" s="61"/>
      <c r="I84" s="61"/>
      <c r="J84" s="61"/>
      <c r="K84" s="61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ht="13.5" customHeight="1">
      <c r="A85" s="337"/>
      <c r="B85" s="338"/>
      <c r="C85" s="61"/>
      <c r="D85" s="61"/>
      <c r="E85" s="61"/>
      <c r="F85" s="61"/>
      <c r="G85" s="61"/>
      <c r="H85" s="61"/>
      <c r="I85" s="61"/>
      <c r="J85" s="61"/>
      <c r="K85" s="61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ht="13.5" customHeight="1">
      <c r="A86" s="337"/>
      <c r="B86" s="338"/>
      <c r="C86" s="61"/>
      <c r="D86" s="61"/>
      <c r="E86" s="61"/>
      <c r="F86" s="61"/>
      <c r="G86" s="61"/>
      <c r="H86" s="61"/>
      <c r="I86" s="61"/>
      <c r="J86" s="61"/>
      <c r="K86" s="61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ht="13.5" customHeight="1">
      <c r="A87" s="337"/>
      <c r="B87" s="338"/>
      <c r="C87" s="61"/>
      <c r="D87" s="61"/>
      <c r="E87" s="61"/>
      <c r="F87" s="61"/>
      <c r="G87" s="61"/>
      <c r="H87" s="61"/>
      <c r="I87" s="61"/>
      <c r="J87" s="61"/>
      <c r="K87" s="61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ht="13.5" customHeight="1">
      <c r="A88" s="337"/>
      <c r="B88" s="338"/>
      <c r="C88" s="61"/>
      <c r="D88" s="61"/>
      <c r="E88" s="61"/>
      <c r="F88" s="61"/>
      <c r="G88" s="61"/>
      <c r="H88" s="61"/>
      <c r="I88" s="61"/>
      <c r="J88" s="61"/>
      <c r="K88" s="61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ht="13.5" customHeight="1">
      <c r="A89" s="337"/>
      <c r="B89" s="338"/>
      <c r="C89" s="61"/>
      <c r="D89" s="61"/>
      <c r="E89" s="61"/>
      <c r="F89" s="61"/>
      <c r="G89" s="61"/>
      <c r="H89" s="61"/>
      <c r="I89" s="61"/>
      <c r="J89" s="61"/>
      <c r="K89" s="61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ht="13.5" customHeight="1">
      <c r="A90" s="337"/>
      <c r="B90" s="338"/>
      <c r="C90" s="61"/>
      <c r="D90" s="61"/>
      <c r="E90" s="61"/>
      <c r="F90" s="61"/>
      <c r="G90" s="61"/>
      <c r="H90" s="61"/>
      <c r="I90" s="61"/>
      <c r="J90" s="61"/>
      <c r="K90" s="61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ht="13.5" customHeight="1">
      <c r="A91" s="337"/>
      <c r="B91" s="338"/>
      <c r="C91" s="61"/>
      <c r="D91" s="61"/>
      <c r="E91" s="61"/>
      <c r="F91" s="61"/>
      <c r="G91" s="61"/>
      <c r="H91" s="61"/>
      <c r="I91" s="61"/>
      <c r="J91" s="61"/>
      <c r="K91" s="61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ht="13.5" customHeight="1">
      <c r="A92" s="337"/>
      <c r="B92" s="338"/>
      <c r="C92" s="61"/>
      <c r="D92" s="61"/>
      <c r="E92" s="61"/>
      <c r="F92" s="61"/>
      <c r="G92" s="61"/>
      <c r="H92" s="61"/>
      <c r="I92" s="61"/>
      <c r="J92" s="61"/>
      <c r="K92" s="61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ht="13.5" customHeight="1">
      <c r="A93" s="337"/>
      <c r="B93" s="338"/>
      <c r="C93" s="61"/>
      <c r="D93" s="61"/>
      <c r="E93" s="61"/>
      <c r="F93" s="61"/>
      <c r="G93" s="61"/>
      <c r="H93" s="61"/>
      <c r="I93" s="61"/>
      <c r="J93" s="61"/>
      <c r="K93" s="61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ht="13.5" customHeight="1">
      <c r="A94" s="337"/>
      <c r="B94" s="338"/>
      <c r="C94" s="61"/>
      <c r="D94" s="61"/>
      <c r="E94" s="61"/>
      <c r="F94" s="61"/>
      <c r="G94" s="61"/>
      <c r="H94" s="61"/>
      <c r="I94" s="61"/>
      <c r="J94" s="61"/>
      <c r="K94" s="61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ht="13.5" customHeight="1">
      <c r="A95" s="337"/>
      <c r="B95" s="339"/>
      <c r="C95" s="61"/>
      <c r="D95" s="61"/>
      <c r="E95" s="61"/>
      <c r="F95" s="61"/>
      <c r="G95" s="61"/>
      <c r="H95" s="61"/>
      <c r="I95" s="61"/>
      <c r="J95" s="61"/>
      <c r="K95" s="61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ht="13.5" customHeight="1">
      <c r="A96" s="337"/>
      <c r="B96" s="339"/>
      <c r="C96" s="61"/>
      <c r="D96" s="61"/>
      <c r="E96" s="61"/>
      <c r="F96" s="61"/>
      <c r="G96" s="61"/>
      <c r="H96" s="61"/>
      <c r="I96" s="61"/>
      <c r="J96" s="61"/>
      <c r="K96" s="61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ht="13.5" customHeight="1">
      <c r="A97" s="337"/>
      <c r="B97" s="339"/>
      <c r="C97" s="61"/>
      <c r="D97" s="61"/>
      <c r="E97" s="61"/>
      <c r="F97" s="61"/>
      <c r="G97" s="61"/>
      <c r="H97" s="61"/>
      <c r="I97" s="61"/>
      <c r="J97" s="61"/>
      <c r="K97" s="61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ht="13.5" customHeight="1">
      <c r="A98" s="337"/>
      <c r="B98" s="339"/>
      <c r="C98" s="61"/>
      <c r="D98" s="61"/>
      <c r="E98" s="61"/>
      <c r="F98" s="61"/>
      <c r="G98" s="61"/>
      <c r="H98" s="61"/>
      <c r="I98" s="61"/>
      <c r="J98" s="61"/>
      <c r="K98" s="61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ht="13.5" customHeight="1">
      <c r="A99" s="337"/>
      <c r="B99" s="339"/>
      <c r="C99" s="61"/>
      <c r="D99" s="61"/>
      <c r="E99" s="61"/>
      <c r="F99" s="61"/>
      <c r="G99" s="61"/>
      <c r="H99" s="61"/>
      <c r="I99" s="61"/>
      <c r="J99" s="61"/>
      <c r="K99" s="61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ht="13.5" customHeight="1">
      <c r="A100" s="337"/>
      <c r="B100" s="339"/>
      <c r="C100" s="61"/>
      <c r="D100" s="61"/>
      <c r="E100" s="61"/>
      <c r="F100" s="61"/>
      <c r="G100" s="61"/>
      <c r="H100" s="61"/>
      <c r="I100" s="61"/>
      <c r="J100" s="61"/>
      <c r="K100" s="61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ht="13.5" customHeight="1">
      <c r="A101" s="337"/>
      <c r="B101" s="339"/>
      <c r="C101" s="61"/>
      <c r="D101" s="61"/>
      <c r="E101" s="61"/>
      <c r="F101" s="61"/>
      <c r="G101" s="61"/>
      <c r="H101" s="61"/>
      <c r="I101" s="61"/>
      <c r="J101" s="61"/>
      <c r="K101" s="61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ht="13.5" customHeight="1">
      <c r="A102" s="337"/>
      <c r="B102" s="339"/>
      <c r="C102" s="61"/>
      <c r="D102" s="61"/>
      <c r="E102" s="61"/>
      <c r="F102" s="61"/>
      <c r="G102" s="61"/>
      <c r="H102" s="61"/>
      <c r="I102" s="61"/>
      <c r="J102" s="61"/>
      <c r="K102" s="61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ht="13.5" customHeight="1">
      <c r="A103" s="337"/>
      <c r="B103" s="339"/>
      <c r="C103" s="61"/>
      <c r="D103" s="61"/>
      <c r="E103" s="61"/>
      <c r="F103" s="61"/>
      <c r="G103" s="61"/>
      <c r="H103" s="61"/>
      <c r="I103" s="61"/>
      <c r="J103" s="61"/>
      <c r="K103" s="61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ht="13.5" customHeight="1">
      <c r="A104" s="337"/>
      <c r="B104" s="339"/>
      <c r="C104" s="61"/>
      <c r="D104" s="61"/>
      <c r="E104" s="61"/>
      <c r="F104" s="61"/>
      <c r="G104" s="61"/>
      <c r="H104" s="61"/>
      <c r="I104" s="61"/>
      <c r="J104" s="61"/>
      <c r="K104" s="61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ht="13.5" customHeight="1">
      <c r="A105" s="337"/>
      <c r="B105" s="339"/>
      <c r="C105" s="61"/>
      <c r="D105" s="61"/>
      <c r="E105" s="61"/>
      <c r="F105" s="61"/>
      <c r="G105" s="61"/>
      <c r="H105" s="61"/>
      <c r="I105" s="61"/>
      <c r="J105" s="61"/>
      <c r="K105" s="61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ht="13.5" customHeight="1">
      <c r="A106" s="337"/>
      <c r="B106" s="339"/>
      <c r="C106" s="61"/>
      <c r="D106" s="61"/>
      <c r="E106" s="61"/>
      <c r="F106" s="61"/>
      <c r="G106" s="61"/>
      <c r="H106" s="61"/>
      <c r="I106" s="61"/>
      <c r="J106" s="61"/>
      <c r="K106" s="61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ht="13.5" customHeight="1">
      <c r="A107" s="337"/>
      <c r="B107" s="339"/>
      <c r="C107" s="61"/>
      <c r="D107" s="61"/>
      <c r="E107" s="61"/>
      <c r="F107" s="61"/>
      <c r="G107" s="61"/>
      <c r="H107" s="61"/>
      <c r="I107" s="61"/>
      <c r="J107" s="61"/>
      <c r="K107" s="61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ht="13.5" customHeight="1">
      <c r="A108" s="337"/>
      <c r="B108" s="339"/>
      <c r="C108" s="61"/>
      <c r="D108" s="61"/>
      <c r="E108" s="61"/>
      <c r="F108" s="61"/>
      <c r="G108" s="61"/>
      <c r="H108" s="61"/>
      <c r="I108" s="61"/>
      <c r="J108" s="61"/>
      <c r="K108" s="61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ht="13.5" customHeight="1">
      <c r="A109" s="337"/>
      <c r="B109" s="339"/>
      <c r="C109" s="61"/>
      <c r="D109" s="61"/>
      <c r="E109" s="61"/>
      <c r="F109" s="61"/>
      <c r="G109" s="61"/>
      <c r="H109" s="61"/>
      <c r="I109" s="61"/>
      <c r="J109" s="61"/>
      <c r="K109" s="61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ht="13.5" customHeight="1">
      <c r="A110" s="337"/>
      <c r="B110" s="339"/>
      <c r="C110" s="61"/>
      <c r="D110" s="61"/>
      <c r="E110" s="61"/>
      <c r="F110" s="61"/>
      <c r="G110" s="61"/>
      <c r="H110" s="61"/>
      <c r="I110" s="61"/>
      <c r="J110" s="61"/>
      <c r="K110" s="61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ht="13.5" customHeight="1">
      <c r="A111" s="337"/>
      <c r="B111" s="339"/>
      <c r="C111" s="61"/>
      <c r="D111" s="61"/>
      <c r="E111" s="61"/>
      <c r="F111" s="61"/>
      <c r="G111" s="61"/>
      <c r="H111" s="61"/>
      <c r="I111" s="61"/>
      <c r="J111" s="61"/>
      <c r="K111" s="61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ht="13.5" customHeight="1">
      <c r="A112" s="337"/>
      <c r="B112" s="339"/>
      <c r="C112" s="61"/>
      <c r="D112" s="61"/>
      <c r="E112" s="61"/>
      <c r="F112" s="61"/>
      <c r="G112" s="61"/>
      <c r="H112" s="61"/>
      <c r="I112" s="61"/>
      <c r="J112" s="61"/>
      <c r="K112" s="61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ht="13.5" customHeight="1">
      <c r="A113" s="337"/>
      <c r="B113" s="339"/>
      <c r="C113" s="61"/>
      <c r="D113" s="61"/>
      <c r="E113" s="61"/>
      <c r="F113" s="61"/>
      <c r="G113" s="61"/>
      <c r="H113" s="61"/>
      <c r="I113" s="61"/>
      <c r="J113" s="61"/>
      <c r="K113" s="61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ht="13.5" customHeight="1">
      <c r="A114" s="337"/>
      <c r="B114" s="339"/>
      <c r="C114" s="61"/>
      <c r="D114" s="61"/>
      <c r="E114" s="61"/>
      <c r="F114" s="61"/>
      <c r="G114" s="61"/>
      <c r="H114" s="61"/>
      <c r="I114" s="61"/>
      <c r="J114" s="61"/>
      <c r="K114" s="61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ht="13.5" customHeight="1">
      <c r="A115" s="337"/>
      <c r="B115" s="339"/>
      <c r="C115" s="61"/>
      <c r="D115" s="61"/>
      <c r="E115" s="61"/>
      <c r="F115" s="61"/>
      <c r="G115" s="61"/>
      <c r="H115" s="61"/>
      <c r="I115" s="61"/>
      <c r="J115" s="61"/>
      <c r="K115" s="61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ht="13.5" customHeight="1">
      <c r="A116" s="337"/>
      <c r="B116" s="339"/>
      <c r="C116" s="61"/>
      <c r="D116" s="61"/>
      <c r="E116" s="61"/>
      <c r="F116" s="61"/>
      <c r="G116" s="61"/>
      <c r="H116" s="61"/>
      <c r="I116" s="61"/>
      <c r="J116" s="61"/>
      <c r="K116" s="61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ht="13.5" customHeight="1">
      <c r="A117" s="337"/>
      <c r="B117" s="339"/>
      <c r="C117" s="61"/>
      <c r="D117" s="61"/>
      <c r="E117" s="61"/>
      <c r="F117" s="61"/>
      <c r="G117" s="61"/>
      <c r="H117" s="61"/>
      <c r="I117" s="61"/>
      <c r="J117" s="61"/>
      <c r="K117" s="61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ht="13.5" customHeight="1">
      <c r="A118" s="337"/>
      <c r="B118" s="339"/>
      <c r="C118" s="61"/>
      <c r="D118" s="61"/>
      <c r="E118" s="61"/>
      <c r="F118" s="61"/>
      <c r="G118" s="61"/>
      <c r="H118" s="61"/>
      <c r="I118" s="61"/>
      <c r="J118" s="61"/>
      <c r="K118" s="61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ht="13.5" customHeight="1">
      <c r="A119" s="337"/>
      <c r="B119" s="339"/>
      <c r="C119" s="61"/>
      <c r="D119" s="61"/>
      <c r="E119" s="61"/>
      <c r="F119" s="61"/>
      <c r="G119" s="61"/>
      <c r="H119" s="61"/>
      <c r="I119" s="61"/>
      <c r="J119" s="61"/>
      <c r="K119" s="61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ht="13.5" customHeight="1">
      <c r="A120" s="337"/>
      <c r="B120" s="339"/>
      <c r="C120" s="61"/>
      <c r="D120" s="61"/>
      <c r="E120" s="61"/>
      <c r="F120" s="61"/>
      <c r="G120" s="61"/>
      <c r="H120" s="61"/>
      <c r="I120" s="61"/>
      <c r="J120" s="61"/>
      <c r="K120" s="61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ht="13.5" customHeight="1">
      <c r="A121" s="337"/>
      <c r="B121" s="339"/>
      <c r="C121" s="61"/>
      <c r="D121" s="61"/>
      <c r="E121" s="61"/>
      <c r="F121" s="61"/>
      <c r="G121" s="61"/>
      <c r="H121" s="61"/>
      <c r="I121" s="61"/>
      <c r="J121" s="61"/>
      <c r="K121" s="61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ht="13.5" customHeight="1">
      <c r="A122" s="337"/>
      <c r="B122" s="339"/>
      <c r="C122" s="61"/>
      <c r="D122" s="61"/>
      <c r="E122" s="61"/>
      <c r="F122" s="61"/>
      <c r="G122" s="61"/>
      <c r="H122" s="61"/>
      <c r="I122" s="61"/>
      <c r="J122" s="61"/>
      <c r="K122" s="61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ht="13.5" customHeight="1">
      <c r="A123" s="337"/>
      <c r="B123" s="339"/>
      <c r="C123" s="61"/>
      <c r="D123" s="61"/>
      <c r="E123" s="61"/>
      <c r="F123" s="61"/>
      <c r="G123" s="61"/>
      <c r="H123" s="61"/>
      <c r="I123" s="61"/>
      <c r="J123" s="61"/>
      <c r="K123" s="61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ht="13.5" customHeight="1">
      <c r="A124" s="337"/>
      <c r="B124" s="339"/>
      <c r="C124" s="61"/>
      <c r="D124" s="61"/>
      <c r="E124" s="61"/>
      <c r="F124" s="61"/>
      <c r="G124" s="61"/>
      <c r="H124" s="61"/>
      <c r="I124" s="61"/>
      <c r="J124" s="61"/>
      <c r="K124" s="61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ht="13.5" customHeight="1">
      <c r="A125" s="337"/>
      <c r="B125" s="339"/>
      <c r="C125" s="61"/>
      <c r="D125" s="61"/>
      <c r="E125" s="61"/>
      <c r="F125" s="61"/>
      <c r="G125" s="61"/>
      <c r="H125" s="61"/>
      <c r="I125" s="61"/>
      <c r="J125" s="61"/>
      <c r="K125" s="61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ht="13.5" customHeight="1">
      <c r="A126" s="337"/>
      <c r="B126" s="339"/>
      <c r="C126" s="61"/>
      <c r="D126" s="61"/>
      <c r="E126" s="61"/>
      <c r="F126" s="61"/>
      <c r="G126" s="61"/>
      <c r="H126" s="61"/>
      <c r="I126" s="61"/>
      <c r="J126" s="61"/>
      <c r="K126" s="61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ht="13.5" customHeight="1">
      <c r="A127" s="337"/>
      <c r="B127" s="339"/>
      <c r="C127" s="61"/>
      <c r="D127" s="61"/>
      <c r="E127" s="61"/>
      <c r="F127" s="61"/>
      <c r="G127" s="61"/>
      <c r="H127" s="61"/>
      <c r="I127" s="61"/>
      <c r="J127" s="61"/>
      <c r="K127" s="61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ht="13.5" customHeight="1">
      <c r="A128" s="337"/>
      <c r="B128" s="339"/>
      <c r="C128" s="61"/>
      <c r="D128" s="61"/>
      <c r="E128" s="61"/>
      <c r="F128" s="61"/>
      <c r="G128" s="61"/>
      <c r="H128" s="61"/>
      <c r="I128" s="61"/>
      <c r="J128" s="61"/>
      <c r="K128" s="61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ht="13.5" customHeight="1">
      <c r="A129" s="337"/>
      <c r="B129" s="339"/>
      <c r="C129" s="61"/>
      <c r="D129" s="61"/>
      <c r="E129" s="61"/>
      <c r="F129" s="61"/>
      <c r="G129" s="61"/>
      <c r="H129" s="61"/>
      <c r="I129" s="61"/>
      <c r="J129" s="61"/>
      <c r="K129" s="61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ht="13.5" customHeight="1">
      <c r="A130" s="337"/>
      <c r="B130" s="339"/>
      <c r="C130" s="61"/>
      <c r="D130" s="61"/>
      <c r="E130" s="61"/>
      <c r="F130" s="61"/>
      <c r="G130" s="61"/>
      <c r="H130" s="61"/>
      <c r="I130" s="61"/>
      <c r="J130" s="61"/>
      <c r="K130" s="61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ht="13.5" customHeight="1">
      <c r="A131" s="337"/>
      <c r="B131" s="339"/>
      <c r="C131" s="61"/>
      <c r="D131" s="61"/>
      <c r="E131" s="61"/>
      <c r="F131" s="61"/>
      <c r="G131" s="61"/>
      <c r="H131" s="61"/>
      <c r="I131" s="61"/>
      <c r="J131" s="61"/>
      <c r="K131" s="61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ht="13.5" customHeight="1">
      <c r="A132" s="337"/>
      <c r="B132" s="339"/>
      <c r="C132" s="61"/>
      <c r="D132" s="61"/>
      <c r="E132" s="61"/>
      <c r="F132" s="61"/>
      <c r="G132" s="61"/>
      <c r="H132" s="61"/>
      <c r="I132" s="61"/>
      <c r="J132" s="61"/>
      <c r="K132" s="61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ht="13.5" customHeight="1">
      <c r="A133" s="337"/>
      <c r="B133" s="339"/>
      <c r="C133" s="61"/>
      <c r="D133" s="61"/>
      <c r="E133" s="61"/>
      <c r="F133" s="61"/>
      <c r="G133" s="61"/>
      <c r="H133" s="61"/>
      <c r="I133" s="61"/>
      <c r="J133" s="61"/>
      <c r="K133" s="61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ht="13.5" customHeight="1">
      <c r="A134" s="337"/>
      <c r="B134" s="339"/>
      <c r="C134" s="61"/>
      <c r="D134" s="61"/>
      <c r="E134" s="61"/>
      <c r="F134" s="61"/>
      <c r="G134" s="61"/>
      <c r="H134" s="61"/>
      <c r="I134" s="61"/>
      <c r="J134" s="61"/>
      <c r="K134" s="61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ht="13.5" customHeight="1">
      <c r="A135" s="337"/>
      <c r="B135" s="339"/>
      <c r="C135" s="61"/>
      <c r="D135" s="61"/>
      <c r="E135" s="61"/>
      <c r="F135" s="61"/>
      <c r="G135" s="61"/>
      <c r="H135" s="61"/>
      <c r="I135" s="61"/>
      <c r="J135" s="61"/>
      <c r="K135" s="61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ht="13.5" customHeight="1">
      <c r="A136" s="337"/>
      <c r="B136" s="339"/>
      <c r="C136" s="61"/>
      <c r="D136" s="61"/>
      <c r="E136" s="61"/>
      <c r="F136" s="61"/>
      <c r="G136" s="61"/>
      <c r="H136" s="61"/>
      <c r="I136" s="61"/>
      <c r="J136" s="61"/>
      <c r="K136" s="61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ht="13.5" customHeight="1">
      <c r="A137" s="337"/>
      <c r="B137" s="339"/>
      <c r="C137" s="61"/>
      <c r="D137" s="61"/>
      <c r="E137" s="61"/>
      <c r="F137" s="61"/>
      <c r="G137" s="61"/>
      <c r="H137" s="61"/>
      <c r="I137" s="61"/>
      <c r="J137" s="61"/>
      <c r="K137" s="61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1:25" ht="13.5" customHeight="1">
      <c r="A138" s="337"/>
      <c r="B138" s="339"/>
      <c r="C138" s="61"/>
      <c r="D138" s="61"/>
      <c r="E138" s="61"/>
      <c r="F138" s="61"/>
      <c r="G138" s="61"/>
      <c r="H138" s="61"/>
      <c r="I138" s="61"/>
      <c r="J138" s="61"/>
      <c r="K138" s="61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ht="13.5" customHeight="1">
      <c r="A139" s="337"/>
      <c r="B139" s="339"/>
      <c r="C139" s="61"/>
      <c r="D139" s="61"/>
      <c r="E139" s="61"/>
      <c r="F139" s="61"/>
      <c r="G139" s="61"/>
      <c r="H139" s="61"/>
      <c r="I139" s="61"/>
      <c r="J139" s="61"/>
      <c r="K139" s="61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ht="13.5" customHeight="1">
      <c r="A140" s="337"/>
      <c r="B140" s="339"/>
      <c r="C140" s="61"/>
      <c r="D140" s="61"/>
      <c r="E140" s="61"/>
      <c r="F140" s="61"/>
      <c r="G140" s="61"/>
      <c r="H140" s="61"/>
      <c r="I140" s="61"/>
      <c r="J140" s="61"/>
      <c r="K140" s="61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ht="13.5" customHeight="1">
      <c r="A141" s="337"/>
      <c r="B141" s="339"/>
      <c r="C141" s="61"/>
      <c r="D141" s="61"/>
      <c r="E141" s="61"/>
      <c r="F141" s="61"/>
      <c r="G141" s="61"/>
      <c r="H141" s="61"/>
      <c r="I141" s="61"/>
      <c r="J141" s="61"/>
      <c r="K141" s="61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1:25" ht="13.5" customHeight="1">
      <c r="A142" s="337"/>
      <c r="B142" s="339"/>
      <c r="C142" s="61"/>
      <c r="D142" s="61"/>
      <c r="E142" s="61"/>
      <c r="F142" s="61"/>
      <c r="G142" s="61"/>
      <c r="H142" s="61"/>
      <c r="I142" s="61"/>
      <c r="J142" s="61"/>
      <c r="K142" s="61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ht="13.5" customHeight="1">
      <c r="A143" s="337"/>
      <c r="B143" s="339"/>
      <c r="C143" s="61"/>
      <c r="D143" s="61"/>
      <c r="E143" s="61"/>
      <c r="F143" s="61"/>
      <c r="G143" s="61"/>
      <c r="H143" s="61"/>
      <c r="I143" s="61"/>
      <c r="J143" s="61"/>
      <c r="K143" s="61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ht="13.5" customHeight="1">
      <c r="A144" s="337"/>
      <c r="B144" s="339"/>
      <c r="C144" s="61"/>
      <c r="D144" s="61"/>
      <c r="E144" s="61"/>
      <c r="F144" s="61"/>
      <c r="G144" s="61"/>
      <c r="H144" s="61"/>
      <c r="I144" s="61"/>
      <c r="J144" s="61"/>
      <c r="K144" s="61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25" ht="13.5" customHeight="1">
      <c r="A145" s="337"/>
      <c r="B145" s="339"/>
      <c r="C145" s="61"/>
      <c r="D145" s="61"/>
      <c r="E145" s="61"/>
      <c r="F145" s="61"/>
      <c r="G145" s="61"/>
      <c r="H145" s="61"/>
      <c r="I145" s="61"/>
      <c r="J145" s="61"/>
      <c r="K145" s="61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25" ht="13.5" customHeight="1">
      <c r="A146" s="337"/>
      <c r="B146" s="339"/>
      <c r="C146" s="61"/>
      <c r="D146" s="61"/>
      <c r="E146" s="61"/>
      <c r="F146" s="61"/>
      <c r="G146" s="61"/>
      <c r="H146" s="61"/>
      <c r="I146" s="61"/>
      <c r="J146" s="61"/>
      <c r="K146" s="61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25" ht="13.5" customHeight="1">
      <c r="A147" s="337"/>
      <c r="B147" s="339"/>
      <c r="C147" s="61"/>
      <c r="D147" s="61"/>
      <c r="E147" s="61"/>
      <c r="F147" s="61"/>
      <c r="G147" s="61"/>
      <c r="H147" s="61"/>
      <c r="I147" s="61"/>
      <c r="J147" s="61"/>
      <c r="K147" s="61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5" ht="13.5" customHeight="1">
      <c r="A148" s="337"/>
      <c r="B148" s="339"/>
      <c r="C148" s="61"/>
      <c r="D148" s="61"/>
      <c r="E148" s="61"/>
      <c r="F148" s="61"/>
      <c r="G148" s="61"/>
      <c r="H148" s="61"/>
      <c r="I148" s="61"/>
      <c r="J148" s="61"/>
      <c r="K148" s="61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25" ht="13.5" customHeight="1">
      <c r="A149" s="337"/>
      <c r="B149" s="339"/>
      <c r="C149" s="61"/>
      <c r="D149" s="61"/>
      <c r="E149" s="61"/>
      <c r="F149" s="61"/>
      <c r="G149" s="61"/>
      <c r="H149" s="61"/>
      <c r="I149" s="61"/>
      <c r="J149" s="61"/>
      <c r="K149" s="61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5" ht="13.5" customHeight="1">
      <c r="A150" s="337"/>
      <c r="B150" s="339"/>
      <c r="C150" s="61"/>
      <c r="D150" s="61"/>
      <c r="E150" s="61"/>
      <c r="F150" s="61"/>
      <c r="G150" s="61"/>
      <c r="H150" s="61"/>
      <c r="I150" s="61"/>
      <c r="J150" s="61"/>
      <c r="K150" s="61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25" ht="13.5" customHeight="1">
      <c r="A151" s="337"/>
      <c r="B151" s="339"/>
      <c r="C151" s="61"/>
      <c r="D151" s="61"/>
      <c r="E151" s="61"/>
      <c r="F151" s="61"/>
      <c r="G151" s="61"/>
      <c r="H151" s="61"/>
      <c r="I151" s="61"/>
      <c r="J151" s="61"/>
      <c r="K151" s="61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5" ht="13.5" customHeight="1">
      <c r="A152" s="337"/>
      <c r="B152" s="339"/>
      <c r="C152" s="61"/>
      <c r="D152" s="61"/>
      <c r="E152" s="61"/>
      <c r="F152" s="61"/>
      <c r="G152" s="61"/>
      <c r="H152" s="61"/>
      <c r="I152" s="61"/>
      <c r="J152" s="61"/>
      <c r="K152" s="61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25" ht="13.5" customHeight="1">
      <c r="A153" s="337"/>
      <c r="B153" s="339"/>
      <c r="C153" s="61"/>
      <c r="D153" s="61"/>
      <c r="E153" s="61"/>
      <c r="F153" s="61"/>
      <c r="G153" s="61"/>
      <c r="H153" s="61"/>
      <c r="I153" s="61"/>
      <c r="J153" s="61"/>
      <c r="K153" s="61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25" ht="13.5" customHeight="1">
      <c r="A154" s="337"/>
      <c r="B154" s="339"/>
      <c r="C154" s="61"/>
      <c r="D154" s="61"/>
      <c r="E154" s="61"/>
      <c r="F154" s="61"/>
      <c r="G154" s="61"/>
      <c r="H154" s="61"/>
      <c r="I154" s="61"/>
      <c r="J154" s="61"/>
      <c r="K154" s="61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1:25" ht="13.5" customHeight="1">
      <c r="A155" s="337"/>
      <c r="B155" s="339"/>
      <c r="C155" s="61"/>
      <c r="D155" s="61"/>
      <c r="E155" s="61"/>
      <c r="F155" s="61"/>
      <c r="G155" s="61"/>
      <c r="H155" s="61"/>
      <c r="I155" s="61"/>
      <c r="J155" s="61"/>
      <c r="K155" s="61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1:25" ht="13.5" customHeight="1">
      <c r="A156" s="337"/>
      <c r="B156" s="339"/>
      <c r="C156" s="61"/>
      <c r="D156" s="61"/>
      <c r="E156" s="61"/>
      <c r="F156" s="61"/>
      <c r="G156" s="61"/>
      <c r="H156" s="61"/>
      <c r="I156" s="61"/>
      <c r="J156" s="61"/>
      <c r="K156" s="61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1:25" ht="13.5" customHeight="1">
      <c r="A157" s="337"/>
      <c r="B157" s="339"/>
      <c r="C157" s="61"/>
      <c r="D157" s="61"/>
      <c r="E157" s="61"/>
      <c r="F157" s="61"/>
      <c r="G157" s="61"/>
      <c r="H157" s="61"/>
      <c r="I157" s="61"/>
      <c r="J157" s="61"/>
      <c r="K157" s="61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1:25" ht="13.5" customHeight="1">
      <c r="A158" s="337"/>
      <c r="B158" s="339"/>
      <c r="C158" s="61"/>
      <c r="D158" s="61"/>
      <c r="E158" s="61"/>
      <c r="F158" s="61"/>
      <c r="G158" s="61"/>
      <c r="H158" s="61"/>
      <c r="I158" s="61"/>
      <c r="J158" s="61"/>
      <c r="K158" s="61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1:25" ht="13.5" customHeight="1">
      <c r="A159" s="337"/>
      <c r="B159" s="339"/>
      <c r="C159" s="61"/>
      <c r="D159" s="61"/>
      <c r="E159" s="61"/>
      <c r="F159" s="61"/>
      <c r="G159" s="61"/>
      <c r="H159" s="61"/>
      <c r="I159" s="61"/>
      <c r="J159" s="61"/>
      <c r="K159" s="61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1:25" ht="13.5" customHeight="1">
      <c r="A160" s="337"/>
      <c r="B160" s="339"/>
      <c r="C160" s="61"/>
      <c r="D160" s="61"/>
      <c r="E160" s="61"/>
      <c r="F160" s="61"/>
      <c r="G160" s="61"/>
      <c r="H160" s="61"/>
      <c r="I160" s="61"/>
      <c r="J160" s="61"/>
      <c r="K160" s="61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1:25" ht="13.5" customHeight="1">
      <c r="A161" s="337"/>
      <c r="B161" s="339"/>
      <c r="C161" s="61"/>
      <c r="D161" s="61"/>
      <c r="E161" s="61"/>
      <c r="F161" s="61"/>
      <c r="G161" s="61"/>
      <c r="H161" s="61"/>
      <c r="I161" s="61"/>
      <c r="J161" s="61"/>
      <c r="K161" s="61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1:25" ht="13.5" customHeight="1">
      <c r="A162" s="337"/>
      <c r="B162" s="339"/>
      <c r="C162" s="61"/>
      <c r="D162" s="61"/>
      <c r="E162" s="61"/>
      <c r="F162" s="61"/>
      <c r="G162" s="61"/>
      <c r="H162" s="61"/>
      <c r="I162" s="61"/>
      <c r="J162" s="61"/>
      <c r="K162" s="61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</row>
    <row r="163" spans="1:25" ht="13.5" customHeight="1">
      <c r="A163" s="337"/>
      <c r="B163" s="339"/>
      <c r="C163" s="61"/>
      <c r="D163" s="61"/>
      <c r="E163" s="61"/>
      <c r="F163" s="61"/>
      <c r="G163" s="61"/>
      <c r="H163" s="61"/>
      <c r="I163" s="61"/>
      <c r="J163" s="61"/>
      <c r="K163" s="61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</row>
    <row r="164" spans="1:25" ht="13.5" customHeight="1">
      <c r="A164" s="337"/>
      <c r="B164" s="339"/>
      <c r="C164" s="61"/>
      <c r="D164" s="61"/>
      <c r="E164" s="61"/>
      <c r="F164" s="61"/>
      <c r="G164" s="61"/>
      <c r="H164" s="61"/>
      <c r="I164" s="61"/>
      <c r="J164" s="61"/>
      <c r="K164" s="61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</row>
    <row r="165" spans="1:25" ht="13.5" customHeight="1">
      <c r="A165" s="337"/>
      <c r="B165" s="339"/>
      <c r="C165" s="61"/>
      <c r="D165" s="61"/>
      <c r="E165" s="61"/>
      <c r="F165" s="61"/>
      <c r="G165" s="61"/>
      <c r="H165" s="61"/>
      <c r="I165" s="61"/>
      <c r="J165" s="61"/>
      <c r="K165" s="61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ht="13.5" customHeight="1">
      <c r="A166" s="337"/>
      <c r="B166" s="339"/>
      <c r="C166" s="61"/>
      <c r="D166" s="61"/>
      <c r="E166" s="61"/>
      <c r="F166" s="61"/>
      <c r="G166" s="61"/>
      <c r="H166" s="61"/>
      <c r="I166" s="61"/>
      <c r="J166" s="61"/>
      <c r="K166" s="61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1:25" ht="13.5" customHeight="1">
      <c r="A167" s="337"/>
      <c r="B167" s="339"/>
      <c r="C167" s="61"/>
      <c r="D167" s="61"/>
      <c r="E167" s="61"/>
      <c r="F167" s="61"/>
      <c r="G167" s="61"/>
      <c r="H167" s="61"/>
      <c r="I167" s="61"/>
      <c r="J167" s="61"/>
      <c r="K167" s="61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</row>
    <row r="168" spans="1:25" ht="13.5" customHeight="1">
      <c r="A168" s="337"/>
      <c r="B168" s="339"/>
      <c r="C168" s="61"/>
      <c r="D168" s="61"/>
      <c r="E168" s="61"/>
      <c r="F168" s="61"/>
      <c r="G168" s="61"/>
      <c r="H168" s="61"/>
      <c r="I168" s="61"/>
      <c r="J168" s="61"/>
      <c r="K168" s="61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ht="13.5" customHeight="1">
      <c r="A169" s="337"/>
      <c r="B169" s="339"/>
      <c r="C169" s="61"/>
      <c r="D169" s="61"/>
      <c r="E169" s="61"/>
      <c r="F169" s="61"/>
      <c r="G169" s="61"/>
      <c r="H169" s="61"/>
      <c r="I169" s="61"/>
      <c r="J169" s="61"/>
      <c r="K169" s="61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ht="13.5" customHeight="1">
      <c r="A170" s="337"/>
      <c r="B170" s="339"/>
      <c r="C170" s="61"/>
      <c r="D170" s="61"/>
      <c r="E170" s="61"/>
      <c r="F170" s="61"/>
      <c r="G170" s="61"/>
      <c r="H170" s="61"/>
      <c r="I170" s="61"/>
      <c r="J170" s="61"/>
      <c r="K170" s="61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ht="13.5" customHeight="1">
      <c r="A171" s="337"/>
      <c r="B171" s="339"/>
      <c r="C171" s="61"/>
      <c r="D171" s="61"/>
      <c r="E171" s="61"/>
      <c r="F171" s="61"/>
      <c r="G171" s="61"/>
      <c r="H171" s="61"/>
      <c r="I171" s="61"/>
      <c r="J171" s="61"/>
      <c r="K171" s="61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ht="13.5" customHeight="1">
      <c r="A172" s="337"/>
      <c r="B172" s="339"/>
      <c r="C172" s="61"/>
      <c r="D172" s="61"/>
      <c r="E172" s="61"/>
      <c r="F172" s="61"/>
      <c r="G172" s="61"/>
      <c r="H172" s="61"/>
      <c r="I172" s="61"/>
      <c r="J172" s="61"/>
      <c r="K172" s="61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ht="13.5" customHeight="1">
      <c r="A173" s="337"/>
      <c r="B173" s="339"/>
      <c r="C173" s="61"/>
      <c r="D173" s="61"/>
      <c r="E173" s="61"/>
      <c r="F173" s="61"/>
      <c r="G173" s="61"/>
      <c r="H173" s="61"/>
      <c r="I173" s="61"/>
      <c r="J173" s="61"/>
      <c r="K173" s="61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ht="13.5" customHeight="1">
      <c r="A174" s="337"/>
      <c r="B174" s="339"/>
      <c r="C174" s="61"/>
      <c r="D174" s="61"/>
      <c r="E174" s="61"/>
      <c r="F174" s="61"/>
      <c r="G174" s="61"/>
      <c r="H174" s="61"/>
      <c r="I174" s="61"/>
      <c r="J174" s="61"/>
      <c r="K174" s="61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ht="13.5" customHeight="1">
      <c r="A175" s="337"/>
      <c r="B175" s="339"/>
      <c r="C175" s="61"/>
      <c r="D175" s="61"/>
      <c r="E175" s="61"/>
      <c r="F175" s="61"/>
      <c r="G175" s="61"/>
      <c r="H175" s="61"/>
      <c r="I175" s="61"/>
      <c r="J175" s="61"/>
      <c r="K175" s="61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ht="13.5" customHeight="1">
      <c r="A176" s="337"/>
      <c r="B176" s="339"/>
      <c r="C176" s="61"/>
      <c r="D176" s="61"/>
      <c r="E176" s="61"/>
      <c r="F176" s="61"/>
      <c r="G176" s="61"/>
      <c r="H176" s="61"/>
      <c r="I176" s="61"/>
      <c r="J176" s="61"/>
      <c r="K176" s="61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5" ht="13.5" customHeight="1">
      <c r="A177" s="337"/>
      <c r="B177" s="339"/>
      <c r="C177" s="61"/>
      <c r="D177" s="61"/>
      <c r="E177" s="61"/>
      <c r="F177" s="61"/>
      <c r="G177" s="61"/>
      <c r="H177" s="61"/>
      <c r="I177" s="61"/>
      <c r="J177" s="61"/>
      <c r="K177" s="61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5" ht="13.5" customHeight="1">
      <c r="A178" s="337"/>
      <c r="B178" s="339"/>
      <c r="C178" s="61"/>
      <c r="D178" s="61"/>
      <c r="E178" s="61"/>
      <c r="F178" s="61"/>
      <c r="G178" s="61"/>
      <c r="H178" s="61"/>
      <c r="I178" s="61"/>
      <c r="J178" s="61"/>
      <c r="K178" s="61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</row>
    <row r="179" spans="1:25" ht="13.5" customHeight="1">
      <c r="A179" s="337"/>
      <c r="B179" s="339"/>
      <c r="C179" s="61"/>
      <c r="D179" s="61"/>
      <c r="E179" s="61"/>
      <c r="F179" s="61"/>
      <c r="G179" s="61"/>
      <c r="H179" s="61"/>
      <c r="I179" s="61"/>
      <c r="J179" s="61"/>
      <c r="K179" s="61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</row>
    <row r="180" spans="1:25" ht="13.5" customHeight="1">
      <c r="A180" s="337"/>
      <c r="B180" s="339"/>
      <c r="C180" s="61"/>
      <c r="D180" s="61"/>
      <c r="E180" s="61"/>
      <c r="F180" s="61"/>
      <c r="G180" s="61"/>
      <c r="H180" s="61"/>
      <c r="I180" s="61"/>
      <c r="J180" s="61"/>
      <c r="K180" s="61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</row>
    <row r="181" spans="1:25" ht="13.5" customHeight="1">
      <c r="A181" s="337"/>
      <c r="B181" s="339"/>
      <c r="C181" s="61"/>
      <c r="D181" s="61"/>
      <c r="E181" s="61"/>
      <c r="F181" s="61"/>
      <c r="G181" s="61"/>
      <c r="H181" s="61"/>
      <c r="I181" s="61"/>
      <c r="J181" s="61"/>
      <c r="K181" s="61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</row>
    <row r="182" spans="1:25" ht="13.5" customHeight="1">
      <c r="A182" s="337"/>
      <c r="B182" s="339"/>
      <c r="C182" s="61"/>
      <c r="D182" s="61"/>
      <c r="E182" s="61"/>
      <c r="F182" s="61"/>
      <c r="G182" s="61"/>
      <c r="H182" s="61"/>
      <c r="I182" s="61"/>
      <c r="J182" s="61"/>
      <c r="K182" s="61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</row>
    <row r="183" spans="1:25" ht="13.5" customHeight="1">
      <c r="A183" s="337"/>
      <c r="B183" s="339"/>
      <c r="C183" s="61"/>
      <c r="D183" s="61"/>
      <c r="E183" s="61"/>
      <c r="F183" s="61"/>
      <c r="G183" s="61"/>
      <c r="H183" s="61"/>
      <c r="I183" s="61"/>
      <c r="J183" s="61"/>
      <c r="K183" s="61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</row>
    <row r="184" spans="1:25" ht="13.5" customHeight="1">
      <c r="A184" s="337"/>
      <c r="B184" s="339"/>
      <c r="C184" s="61"/>
      <c r="D184" s="61"/>
      <c r="E184" s="61"/>
      <c r="F184" s="61"/>
      <c r="G184" s="61"/>
      <c r="H184" s="61"/>
      <c r="I184" s="61"/>
      <c r="J184" s="61"/>
      <c r="K184" s="61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</row>
    <row r="185" spans="1:25" ht="13.5" customHeight="1">
      <c r="A185" s="337"/>
      <c r="B185" s="339"/>
      <c r="C185" s="61"/>
      <c r="D185" s="61"/>
      <c r="E185" s="61"/>
      <c r="F185" s="61"/>
      <c r="G185" s="61"/>
      <c r="H185" s="61"/>
      <c r="I185" s="61"/>
      <c r="J185" s="61"/>
      <c r="K185" s="61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</row>
    <row r="186" spans="1:25" ht="13.5" customHeight="1">
      <c r="A186" s="337"/>
      <c r="B186" s="339"/>
      <c r="C186" s="61"/>
      <c r="D186" s="61"/>
      <c r="E186" s="61"/>
      <c r="F186" s="61"/>
      <c r="G186" s="61"/>
      <c r="H186" s="61"/>
      <c r="I186" s="61"/>
      <c r="J186" s="61"/>
      <c r="K186" s="61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</row>
    <row r="187" spans="1:25" ht="13.5" customHeight="1">
      <c r="A187" s="337"/>
      <c r="B187" s="339"/>
      <c r="C187" s="61"/>
      <c r="D187" s="61"/>
      <c r="E187" s="61"/>
      <c r="F187" s="61"/>
      <c r="G187" s="61"/>
      <c r="H187" s="61"/>
      <c r="I187" s="61"/>
      <c r="J187" s="61"/>
      <c r="K187" s="61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</row>
    <row r="188" spans="1:25" ht="13.5" customHeight="1">
      <c r="A188" s="337"/>
      <c r="B188" s="339"/>
      <c r="C188" s="61"/>
      <c r="D188" s="61"/>
      <c r="E188" s="61"/>
      <c r="F188" s="61"/>
      <c r="G188" s="61"/>
      <c r="H188" s="61"/>
      <c r="I188" s="61"/>
      <c r="J188" s="61"/>
      <c r="K188" s="61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</row>
    <row r="189" spans="1:25" ht="13.5" customHeight="1">
      <c r="A189" s="337"/>
      <c r="B189" s="339"/>
      <c r="C189" s="61"/>
      <c r="D189" s="61"/>
      <c r="E189" s="61"/>
      <c r="F189" s="61"/>
      <c r="G189" s="61"/>
      <c r="H189" s="61"/>
      <c r="I189" s="61"/>
      <c r="J189" s="61"/>
      <c r="K189" s="61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</row>
    <row r="190" spans="1:25" ht="13.5" customHeight="1">
      <c r="A190" s="337"/>
      <c r="B190" s="339"/>
      <c r="C190" s="61"/>
      <c r="D190" s="61"/>
      <c r="E190" s="61"/>
      <c r="F190" s="61"/>
      <c r="G190" s="61"/>
      <c r="H190" s="61"/>
      <c r="I190" s="61"/>
      <c r="J190" s="61"/>
      <c r="K190" s="61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</row>
    <row r="191" spans="1:25" ht="13.5" customHeight="1">
      <c r="A191" s="337"/>
      <c r="B191" s="339"/>
      <c r="C191" s="61"/>
      <c r="D191" s="61"/>
      <c r="E191" s="61"/>
      <c r="F191" s="61"/>
      <c r="G191" s="61"/>
      <c r="H191" s="61"/>
      <c r="I191" s="61"/>
      <c r="J191" s="61"/>
      <c r="K191" s="61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</row>
    <row r="192" spans="1:25" ht="13.5" customHeight="1">
      <c r="A192" s="337"/>
      <c r="B192" s="339"/>
      <c r="C192" s="61"/>
      <c r="D192" s="61"/>
      <c r="E192" s="61"/>
      <c r="F192" s="61"/>
      <c r="G192" s="61"/>
      <c r="H192" s="61"/>
      <c r="I192" s="61"/>
      <c r="J192" s="61"/>
      <c r="K192" s="61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</row>
    <row r="193" spans="1:25" ht="13.5" customHeight="1">
      <c r="A193" s="337"/>
      <c r="B193" s="339"/>
      <c r="C193" s="61"/>
      <c r="D193" s="61"/>
      <c r="E193" s="61"/>
      <c r="F193" s="61"/>
      <c r="G193" s="61"/>
      <c r="H193" s="61"/>
      <c r="I193" s="61"/>
      <c r="J193" s="61"/>
      <c r="K193" s="61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</row>
    <row r="194" spans="1:25" ht="13.5" customHeight="1">
      <c r="A194" s="337"/>
      <c r="B194" s="339"/>
      <c r="C194" s="61"/>
      <c r="D194" s="61"/>
      <c r="E194" s="61"/>
      <c r="F194" s="61"/>
      <c r="G194" s="61"/>
      <c r="H194" s="61"/>
      <c r="I194" s="61"/>
      <c r="J194" s="61"/>
      <c r="K194" s="61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</row>
    <row r="195" spans="1:25" ht="13.5" customHeight="1">
      <c r="A195" s="337"/>
      <c r="B195" s="339"/>
      <c r="C195" s="61"/>
      <c r="D195" s="61"/>
      <c r="E195" s="61"/>
      <c r="F195" s="61"/>
      <c r="G195" s="61"/>
      <c r="H195" s="61"/>
      <c r="I195" s="61"/>
      <c r="J195" s="61"/>
      <c r="K195" s="61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</row>
    <row r="196" spans="1:25" ht="13.5" customHeight="1">
      <c r="A196" s="337"/>
      <c r="B196" s="339"/>
      <c r="C196" s="61"/>
      <c r="D196" s="61"/>
      <c r="E196" s="61"/>
      <c r="F196" s="61"/>
      <c r="G196" s="61"/>
      <c r="H196" s="61"/>
      <c r="I196" s="61"/>
      <c r="J196" s="61"/>
      <c r="K196" s="61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</row>
    <row r="197" spans="1:25" ht="13.5" customHeight="1">
      <c r="A197" s="337"/>
      <c r="B197" s="339"/>
      <c r="C197" s="61"/>
      <c r="D197" s="61"/>
      <c r="E197" s="61"/>
      <c r="F197" s="61"/>
      <c r="G197" s="61"/>
      <c r="H197" s="61"/>
      <c r="I197" s="61"/>
      <c r="J197" s="61"/>
      <c r="K197" s="61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</row>
    <row r="198" spans="1:25" ht="13.5" customHeight="1">
      <c r="A198" s="337"/>
      <c r="B198" s="339"/>
      <c r="C198" s="61"/>
      <c r="D198" s="61"/>
      <c r="E198" s="61"/>
      <c r="F198" s="61"/>
      <c r="G198" s="61"/>
      <c r="H198" s="61"/>
      <c r="I198" s="61"/>
      <c r="J198" s="61"/>
      <c r="K198" s="61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</row>
    <row r="199" spans="1:25" ht="13.5" customHeight="1">
      <c r="A199" s="337"/>
      <c r="B199" s="339"/>
      <c r="C199" s="61"/>
      <c r="D199" s="61"/>
      <c r="E199" s="61"/>
      <c r="F199" s="61"/>
      <c r="G199" s="61"/>
      <c r="H199" s="61"/>
      <c r="I199" s="61"/>
      <c r="J199" s="61"/>
      <c r="K199" s="61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</row>
    <row r="200" spans="1:25" ht="13.5" customHeight="1">
      <c r="A200" s="337"/>
      <c r="B200" s="339"/>
      <c r="C200" s="61"/>
      <c r="D200" s="61"/>
      <c r="E200" s="61"/>
      <c r="F200" s="61"/>
      <c r="G200" s="61"/>
      <c r="H200" s="61"/>
      <c r="I200" s="61"/>
      <c r="J200" s="61"/>
      <c r="K200" s="61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</row>
    <row r="201" spans="1:25" ht="13.5" customHeight="1">
      <c r="A201" s="337"/>
      <c r="B201" s="339"/>
      <c r="C201" s="61"/>
      <c r="D201" s="61"/>
      <c r="E201" s="61"/>
      <c r="F201" s="61"/>
      <c r="G201" s="61"/>
      <c r="H201" s="61"/>
      <c r="I201" s="61"/>
      <c r="J201" s="61"/>
      <c r="K201" s="61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</row>
    <row r="202" spans="1:25" ht="13.5" customHeight="1">
      <c r="A202" s="337"/>
      <c r="B202" s="339"/>
      <c r="C202" s="61"/>
      <c r="D202" s="61"/>
      <c r="E202" s="61"/>
      <c r="F202" s="61"/>
      <c r="G202" s="61"/>
      <c r="H202" s="61"/>
      <c r="I202" s="61"/>
      <c r="J202" s="61"/>
      <c r="K202" s="61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</row>
    <row r="203" spans="1:25" ht="13.5" customHeight="1">
      <c r="A203" s="337"/>
      <c r="B203" s="339"/>
      <c r="C203" s="61"/>
      <c r="D203" s="61"/>
      <c r="E203" s="61"/>
      <c r="F203" s="61"/>
      <c r="G203" s="61"/>
      <c r="H203" s="61"/>
      <c r="I203" s="61"/>
      <c r="J203" s="61"/>
      <c r="K203" s="61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</row>
    <row r="204" spans="1:25" ht="13.5" customHeight="1">
      <c r="A204" s="337"/>
      <c r="B204" s="339"/>
      <c r="C204" s="61"/>
      <c r="D204" s="61"/>
      <c r="E204" s="61"/>
      <c r="F204" s="61"/>
      <c r="G204" s="61"/>
      <c r="H204" s="61"/>
      <c r="I204" s="61"/>
      <c r="J204" s="61"/>
      <c r="K204" s="61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</row>
    <row r="205" spans="1:25" ht="13.5" customHeight="1">
      <c r="A205" s="337"/>
      <c r="B205" s="339"/>
      <c r="C205" s="61"/>
      <c r="D205" s="61"/>
      <c r="E205" s="61"/>
      <c r="F205" s="61"/>
      <c r="G205" s="61"/>
      <c r="H205" s="61"/>
      <c r="I205" s="61"/>
      <c r="J205" s="61"/>
      <c r="K205" s="61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</row>
    <row r="206" spans="1:25" ht="13.5" customHeight="1">
      <c r="A206" s="337"/>
      <c r="B206" s="339"/>
      <c r="C206" s="61"/>
      <c r="D206" s="61"/>
      <c r="E206" s="61"/>
      <c r="F206" s="61"/>
      <c r="G206" s="61"/>
      <c r="H206" s="61"/>
      <c r="I206" s="61"/>
      <c r="J206" s="61"/>
      <c r="K206" s="61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</row>
    <row r="207" spans="1:25" ht="13.5" customHeight="1">
      <c r="A207" s="337"/>
      <c r="B207" s="339"/>
      <c r="C207" s="61"/>
      <c r="D207" s="61"/>
      <c r="E207" s="61"/>
      <c r="F207" s="61"/>
      <c r="G207" s="61"/>
      <c r="H207" s="61"/>
      <c r="I207" s="61"/>
      <c r="J207" s="61"/>
      <c r="K207" s="61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</row>
    <row r="208" spans="1:25" ht="13.5" customHeight="1">
      <c r="A208" s="337"/>
      <c r="B208" s="339"/>
      <c r="C208" s="61"/>
      <c r="D208" s="61"/>
      <c r="E208" s="61"/>
      <c r="F208" s="61"/>
      <c r="G208" s="61"/>
      <c r="H208" s="61"/>
      <c r="I208" s="61"/>
      <c r="J208" s="61"/>
      <c r="K208" s="61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</row>
    <row r="209" spans="1:25" ht="13.5" customHeight="1">
      <c r="A209" s="337"/>
      <c r="B209" s="339"/>
      <c r="C209" s="61"/>
      <c r="D209" s="61"/>
      <c r="E209" s="61"/>
      <c r="F209" s="61"/>
      <c r="G209" s="61"/>
      <c r="H209" s="61"/>
      <c r="I209" s="61"/>
      <c r="J209" s="61"/>
      <c r="K209" s="61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1:25" ht="13.5" customHeight="1">
      <c r="A210" s="337"/>
      <c r="B210" s="339"/>
      <c r="C210" s="61"/>
      <c r="D210" s="61"/>
      <c r="E210" s="61"/>
      <c r="F210" s="61"/>
      <c r="G210" s="61"/>
      <c r="H210" s="61"/>
      <c r="I210" s="61"/>
      <c r="J210" s="61"/>
      <c r="K210" s="61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1:25" ht="13.5" customHeight="1">
      <c r="A211" s="337"/>
      <c r="B211" s="339"/>
      <c r="C211" s="61"/>
      <c r="D211" s="61"/>
      <c r="E211" s="61"/>
      <c r="F211" s="61"/>
      <c r="G211" s="61"/>
      <c r="H211" s="61"/>
      <c r="I211" s="61"/>
      <c r="J211" s="61"/>
      <c r="K211" s="61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</row>
    <row r="212" spans="1:25" ht="13.5" customHeight="1">
      <c r="A212" s="337"/>
      <c r="B212" s="339"/>
      <c r="C212" s="61"/>
      <c r="D212" s="61"/>
      <c r="E212" s="61"/>
      <c r="F212" s="61"/>
      <c r="G212" s="61"/>
      <c r="H212" s="61"/>
      <c r="I212" s="61"/>
      <c r="J212" s="61"/>
      <c r="K212" s="61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</row>
    <row r="213" spans="1:25" ht="13.5" customHeight="1">
      <c r="A213" s="337"/>
      <c r="B213" s="339"/>
      <c r="C213" s="61"/>
      <c r="D213" s="61"/>
      <c r="E213" s="61"/>
      <c r="F213" s="61"/>
      <c r="G213" s="61"/>
      <c r="H213" s="61"/>
      <c r="I213" s="61"/>
      <c r="J213" s="61"/>
      <c r="K213" s="61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ht="13.5" customHeight="1">
      <c r="A214" s="337"/>
      <c r="B214" s="339"/>
      <c r="C214" s="61"/>
      <c r="D214" s="61"/>
      <c r="E214" s="61"/>
      <c r="F214" s="61"/>
      <c r="G214" s="61"/>
      <c r="H214" s="61"/>
      <c r="I214" s="61"/>
      <c r="J214" s="61"/>
      <c r="K214" s="61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</row>
    <row r="215" spans="1:25" ht="13.5" customHeight="1">
      <c r="A215" s="337"/>
      <c r="B215" s="339"/>
      <c r="C215" s="61"/>
      <c r="D215" s="61"/>
      <c r="E215" s="61"/>
      <c r="F215" s="61"/>
      <c r="G215" s="61"/>
      <c r="H215" s="61"/>
      <c r="I215" s="61"/>
      <c r="J215" s="61"/>
      <c r="K215" s="61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</row>
    <row r="216" spans="1:25" ht="13.5" customHeight="1">
      <c r="A216" s="337"/>
      <c r="B216" s="339"/>
      <c r="C216" s="61"/>
      <c r="D216" s="61"/>
      <c r="E216" s="61"/>
      <c r="F216" s="61"/>
      <c r="G216" s="61"/>
      <c r="H216" s="61"/>
      <c r="I216" s="61"/>
      <c r="J216" s="61"/>
      <c r="K216" s="61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</row>
    <row r="217" spans="1:25" ht="13.5" customHeight="1">
      <c r="A217" s="337"/>
      <c r="B217" s="339"/>
      <c r="C217" s="61"/>
      <c r="D217" s="61"/>
      <c r="E217" s="61"/>
      <c r="F217" s="61"/>
      <c r="G217" s="61"/>
      <c r="H217" s="61"/>
      <c r="I217" s="61"/>
      <c r="J217" s="61"/>
      <c r="K217" s="61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5" ht="13.5" customHeight="1">
      <c r="A218" s="337"/>
      <c r="B218" s="339"/>
      <c r="C218" s="61"/>
      <c r="D218" s="61"/>
      <c r="E218" s="61"/>
      <c r="F218" s="61"/>
      <c r="G218" s="61"/>
      <c r="H218" s="61"/>
      <c r="I218" s="61"/>
      <c r="J218" s="61"/>
      <c r="K218" s="61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</row>
    <row r="219" spans="1:25" ht="13.5" customHeight="1">
      <c r="A219" s="337"/>
      <c r="B219" s="339"/>
      <c r="C219" s="61"/>
      <c r="D219" s="61"/>
      <c r="E219" s="61"/>
      <c r="F219" s="61"/>
      <c r="G219" s="61"/>
      <c r="H219" s="61"/>
      <c r="I219" s="61"/>
      <c r="J219" s="61"/>
      <c r="K219" s="61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</row>
    <row r="220" spans="1:25" ht="13.5" customHeight="1">
      <c r="A220" s="337"/>
      <c r="B220" s="339"/>
      <c r="C220" s="61"/>
      <c r="D220" s="61"/>
      <c r="E220" s="61"/>
      <c r="F220" s="61"/>
      <c r="G220" s="61"/>
      <c r="H220" s="61"/>
      <c r="I220" s="61"/>
      <c r="J220" s="61"/>
      <c r="K220" s="61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</row>
    <row r="221" spans="1:25" ht="13.5" customHeight="1">
      <c r="A221" s="337"/>
      <c r="B221" s="339"/>
      <c r="C221" s="61"/>
      <c r="D221" s="61"/>
      <c r="E221" s="61"/>
      <c r="F221" s="61"/>
      <c r="G221" s="61"/>
      <c r="H221" s="61"/>
      <c r="I221" s="61"/>
      <c r="J221" s="61"/>
      <c r="K221" s="61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5" ht="13.5" customHeight="1">
      <c r="A222" s="337"/>
      <c r="B222" s="339"/>
      <c r="C222" s="61"/>
      <c r="D222" s="61"/>
      <c r="E222" s="61"/>
      <c r="F222" s="61"/>
      <c r="G222" s="61"/>
      <c r="H222" s="61"/>
      <c r="I222" s="61"/>
      <c r="J222" s="61"/>
      <c r="K222" s="61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</row>
    <row r="223" spans="1:25" ht="13.5" customHeight="1">
      <c r="A223" s="337"/>
      <c r="B223" s="339"/>
      <c r="C223" s="61"/>
      <c r="D223" s="61"/>
      <c r="E223" s="61"/>
      <c r="F223" s="61"/>
      <c r="G223" s="61"/>
      <c r="H223" s="61"/>
      <c r="I223" s="61"/>
      <c r="J223" s="61"/>
      <c r="K223" s="61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ht="13.5" customHeight="1">
      <c r="A224" s="337"/>
      <c r="B224" s="339"/>
      <c r="C224" s="61"/>
      <c r="D224" s="61"/>
      <c r="E224" s="61"/>
      <c r="F224" s="61"/>
      <c r="G224" s="61"/>
      <c r="H224" s="61"/>
      <c r="I224" s="61"/>
      <c r="J224" s="61"/>
      <c r="K224" s="61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</row>
    <row r="225" spans="1:25" ht="13.5" customHeight="1">
      <c r="A225" s="337"/>
      <c r="B225" s="339"/>
      <c r="C225" s="61"/>
      <c r="D225" s="61"/>
      <c r="E225" s="61"/>
      <c r="F225" s="61"/>
      <c r="G225" s="61"/>
      <c r="H225" s="61"/>
      <c r="I225" s="61"/>
      <c r="J225" s="61"/>
      <c r="K225" s="61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</row>
    <row r="226" spans="1:25" ht="13.5" customHeight="1">
      <c r="A226" s="337"/>
      <c r="B226" s="339"/>
      <c r="C226" s="61"/>
      <c r="D226" s="61"/>
      <c r="E226" s="61"/>
      <c r="F226" s="61"/>
      <c r="G226" s="61"/>
      <c r="H226" s="61"/>
      <c r="I226" s="61"/>
      <c r="J226" s="61"/>
      <c r="K226" s="61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</row>
    <row r="227" spans="1:25" ht="13.5" customHeight="1">
      <c r="A227" s="337"/>
      <c r="B227" s="339"/>
      <c r="C227" s="61"/>
      <c r="D227" s="61"/>
      <c r="E227" s="61"/>
      <c r="F227" s="61"/>
      <c r="G227" s="61"/>
      <c r="H227" s="61"/>
      <c r="I227" s="61"/>
      <c r="J227" s="61"/>
      <c r="K227" s="61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</row>
    <row r="228" spans="1:25" ht="13.5" customHeight="1">
      <c r="A228" s="337"/>
      <c r="B228" s="339"/>
      <c r="C228" s="61"/>
      <c r="D228" s="61"/>
      <c r="E228" s="61"/>
      <c r="F228" s="61"/>
      <c r="G228" s="61"/>
      <c r="H228" s="61"/>
      <c r="I228" s="61"/>
      <c r="J228" s="61"/>
      <c r="K228" s="61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</row>
    <row r="229" spans="1:25" ht="13.5" customHeight="1">
      <c r="A229" s="337"/>
      <c r="B229" s="339"/>
      <c r="C229" s="61"/>
      <c r="D229" s="61"/>
      <c r="E229" s="61"/>
      <c r="F229" s="61"/>
      <c r="G229" s="61"/>
      <c r="H229" s="61"/>
      <c r="I229" s="61"/>
      <c r="J229" s="61"/>
      <c r="K229" s="61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</row>
    <row r="230" spans="1:25" ht="13.5" customHeight="1">
      <c r="A230" s="337"/>
      <c r="B230" s="339"/>
      <c r="C230" s="61"/>
      <c r="D230" s="61"/>
      <c r="E230" s="61"/>
      <c r="F230" s="61"/>
      <c r="G230" s="61"/>
      <c r="H230" s="61"/>
      <c r="I230" s="61"/>
      <c r="J230" s="61"/>
      <c r="K230" s="61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</row>
    <row r="231" spans="1:25" ht="13.5" customHeight="1">
      <c r="A231" s="337"/>
      <c r="B231" s="339"/>
      <c r="C231" s="61"/>
      <c r="D231" s="61"/>
      <c r="E231" s="61"/>
      <c r="F231" s="61"/>
      <c r="G231" s="61"/>
      <c r="H231" s="61"/>
      <c r="I231" s="61"/>
      <c r="J231" s="61"/>
      <c r="K231" s="61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</row>
    <row r="232" spans="1:25" ht="13.5" customHeight="1">
      <c r="A232" s="337"/>
      <c r="B232" s="339"/>
      <c r="C232" s="61"/>
      <c r="D232" s="61"/>
      <c r="E232" s="61"/>
      <c r="F232" s="61"/>
      <c r="G232" s="61"/>
      <c r="H232" s="61"/>
      <c r="I232" s="61"/>
      <c r="J232" s="61"/>
      <c r="K232" s="61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</row>
    <row r="233" spans="1:25" ht="13.5" customHeight="1">
      <c r="A233" s="337"/>
      <c r="B233" s="339"/>
      <c r="C233" s="61"/>
      <c r="D233" s="61"/>
      <c r="E233" s="61"/>
      <c r="F233" s="61"/>
      <c r="G233" s="61"/>
      <c r="H233" s="61"/>
      <c r="I233" s="61"/>
      <c r="J233" s="61"/>
      <c r="K233" s="61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</row>
    <row r="234" spans="1:25" ht="13.5" customHeight="1">
      <c r="A234" s="337"/>
      <c r="B234" s="339"/>
      <c r="C234" s="61"/>
      <c r="D234" s="61"/>
      <c r="E234" s="61"/>
      <c r="F234" s="61"/>
      <c r="G234" s="61"/>
      <c r="H234" s="61"/>
      <c r="I234" s="61"/>
      <c r="J234" s="61"/>
      <c r="K234" s="61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</row>
    <row r="235" spans="1:25" ht="13.5" customHeight="1">
      <c r="A235" s="337"/>
      <c r="B235" s="339"/>
      <c r="C235" s="61"/>
      <c r="D235" s="61"/>
      <c r="E235" s="61"/>
      <c r="F235" s="61"/>
      <c r="G235" s="61"/>
      <c r="H235" s="61"/>
      <c r="I235" s="61"/>
      <c r="J235" s="61"/>
      <c r="K235" s="61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</row>
    <row r="236" spans="1:25" ht="13.5" customHeight="1">
      <c r="A236" s="337"/>
      <c r="B236" s="339"/>
      <c r="C236" s="61"/>
      <c r="D236" s="61"/>
      <c r="E236" s="61"/>
      <c r="F236" s="61"/>
      <c r="G236" s="61"/>
      <c r="H236" s="61"/>
      <c r="I236" s="61"/>
      <c r="J236" s="61"/>
      <c r="K236" s="61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</row>
    <row r="237" spans="1:25" ht="13.5" customHeight="1">
      <c r="A237" s="337"/>
      <c r="B237" s="339"/>
      <c r="C237" s="61"/>
      <c r="D237" s="61"/>
      <c r="E237" s="61"/>
      <c r="F237" s="61"/>
      <c r="G237" s="61"/>
      <c r="H237" s="61"/>
      <c r="I237" s="61"/>
      <c r="J237" s="61"/>
      <c r="K237" s="61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1:25" ht="13.5" customHeight="1">
      <c r="A238" s="337"/>
      <c r="B238" s="339"/>
      <c r="C238" s="61"/>
      <c r="D238" s="61"/>
      <c r="E238" s="61"/>
      <c r="F238" s="61"/>
      <c r="G238" s="61"/>
      <c r="H238" s="61"/>
      <c r="I238" s="61"/>
      <c r="J238" s="61"/>
      <c r="K238" s="61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</row>
    <row r="239" spans="1:25" ht="13.5" customHeight="1">
      <c r="A239" s="337"/>
      <c r="B239" s="339"/>
      <c r="C239" s="61"/>
      <c r="D239" s="61"/>
      <c r="E239" s="61"/>
      <c r="F239" s="61"/>
      <c r="G239" s="61"/>
      <c r="H239" s="61"/>
      <c r="I239" s="61"/>
      <c r="J239" s="61"/>
      <c r="K239" s="61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</row>
    <row r="240" spans="1:25" ht="13.5" customHeight="1">
      <c r="A240" s="337"/>
      <c r="B240" s="339"/>
      <c r="C240" s="61"/>
      <c r="D240" s="61"/>
      <c r="E240" s="61"/>
      <c r="F240" s="61"/>
      <c r="G240" s="61"/>
      <c r="H240" s="61"/>
      <c r="I240" s="61"/>
      <c r="J240" s="61"/>
      <c r="K240" s="61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</row>
    <row r="241" spans="1:25" ht="13.5" customHeight="1">
      <c r="A241" s="337"/>
      <c r="B241" s="339"/>
      <c r="C241" s="61"/>
      <c r="D241" s="61"/>
      <c r="E241" s="61"/>
      <c r="F241" s="61"/>
      <c r="G241" s="61"/>
      <c r="H241" s="61"/>
      <c r="I241" s="61"/>
      <c r="J241" s="61"/>
      <c r="K241" s="61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</row>
    <row r="242" spans="1:25" ht="13.5" customHeight="1">
      <c r="A242" s="337"/>
      <c r="B242" s="339"/>
      <c r="C242" s="61"/>
      <c r="D242" s="61"/>
      <c r="E242" s="61"/>
      <c r="F242" s="61"/>
      <c r="G242" s="61"/>
      <c r="H242" s="61"/>
      <c r="I242" s="61"/>
      <c r="J242" s="61"/>
      <c r="K242" s="61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</row>
    <row r="243" spans="1:25" ht="13.5" customHeight="1">
      <c r="A243" s="337"/>
      <c r="B243" s="339"/>
      <c r="C243" s="61"/>
      <c r="D243" s="61"/>
      <c r="E243" s="61"/>
      <c r="F243" s="61"/>
      <c r="G243" s="61"/>
      <c r="H243" s="61"/>
      <c r="I243" s="61"/>
      <c r="J243" s="61"/>
      <c r="K243" s="61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</row>
    <row r="244" spans="1:25" ht="13.5" customHeight="1">
      <c r="A244" s="337"/>
      <c r="B244" s="339"/>
      <c r="C244" s="61"/>
      <c r="D244" s="61"/>
      <c r="E244" s="61"/>
      <c r="F244" s="61"/>
      <c r="G244" s="61"/>
      <c r="H244" s="61"/>
      <c r="I244" s="61"/>
      <c r="J244" s="61"/>
      <c r="K244" s="61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</row>
    <row r="245" spans="1:25" ht="13.5" customHeight="1">
      <c r="A245" s="337"/>
      <c r="B245" s="339"/>
      <c r="C245" s="61"/>
      <c r="D245" s="61"/>
      <c r="E245" s="61"/>
      <c r="F245" s="61"/>
      <c r="G245" s="61"/>
      <c r="H245" s="61"/>
      <c r="I245" s="61"/>
      <c r="J245" s="61"/>
      <c r="K245" s="61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</row>
    <row r="246" spans="1:25" ht="13.5" customHeight="1">
      <c r="A246" s="337"/>
      <c r="B246" s="339"/>
      <c r="C246" s="61"/>
      <c r="D246" s="61"/>
      <c r="E246" s="61"/>
      <c r="F246" s="61"/>
      <c r="G246" s="61"/>
      <c r="H246" s="61"/>
      <c r="I246" s="61"/>
      <c r="J246" s="61"/>
      <c r="K246" s="61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</row>
    <row r="247" spans="1:25" ht="13.5" customHeight="1">
      <c r="A247" s="337"/>
      <c r="B247" s="339"/>
      <c r="C247" s="61"/>
      <c r="D247" s="61"/>
      <c r="E247" s="61"/>
      <c r="F247" s="61"/>
      <c r="G247" s="61"/>
      <c r="H247" s="61"/>
      <c r="I247" s="61"/>
      <c r="J247" s="61"/>
      <c r="K247" s="61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</row>
    <row r="248" spans="1:25" ht="13.5" customHeight="1">
      <c r="A248" s="337"/>
      <c r="B248" s="339"/>
      <c r="C248" s="61"/>
      <c r="D248" s="61"/>
      <c r="E248" s="61"/>
      <c r="F248" s="61"/>
      <c r="G248" s="61"/>
      <c r="H248" s="61"/>
      <c r="I248" s="61"/>
      <c r="J248" s="61"/>
      <c r="K248" s="61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</row>
    <row r="249" spans="1:25" ht="13.5" customHeight="1">
      <c r="A249" s="337"/>
      <c r="B249" s="339"/>
      <c r="C249" s="61"/>
      <c r="D249" s="61"/>
      <c r="E249" s="61"/>
      <c r="F249" s="61"/>
      <c r="G249" s="61"/>
      <c r="H249" s="61"/>
      <c r="I249" s="61"/>
      <c r="J249" s="61"/>
      <c r="K249" s="61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</row>
    <row r="250" spans="1:25" ht="13.5" customHeight="1">
      <c r="A250" s="337"/>
      <c r="B250" s="339"/>
      <c r="C250" s="61"/>
      <c r="D250" s="61"/>
      <c r="E250" s="61"/>
      <c r="F250" s="61"/>
      <c r="G250" s="61"/>
      <c r="H250" s="61"/>
      <c r="I250" s="61"/>
      <c r="J250" s="61"/>
      <c r="K250" s="61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5" ht="13.5" customHeight="1">
      <c r="A251" s="337"/>
      <c r="B251" s="339"/>
      <c r="C251" s="61"/>
      <c r="D251" s="61"/>
      <c r="E251" s="61"/>
      <c r="F251" s="61"/>
      <c r="G251" s="61"/>
      <c r="H251" s="61"/>
      <c r="I251" s="61"/>
      <c r="J251" s="61"/>
      <c r="K251" s="61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</row>
    <row r="252" spans="1:25" ht="13.5" customHeight="1">
      <c r="A252" s="337"/>
      <c r="B252" s="339"/>
      <c r="C252" s="61"/>
      <c r="D252" s="61"/>
      <c r="E252" s="61"/>
      <c r="F252" s="61"/>
      <c r="G252" s="61"/>
      <c r="H252" s="61"/>
      <c r="I252" s="61"/>
      <c r="J252" s="61"/>
      <c r="K252" s="61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</row>
    <row r="253" spans="1:25" ht="13.5" customHeight="1">
      <c r="A253" s="337"/>
      <c r="B253" s="339"/>
      <c r="C253" s="61"/>
      <c r="D253" s="61"/>
      <c r="E253" s="61"/>
      <c r="F253" s="61"/>
      <c r="G253" s="61"/>
      <c r="H253" s="61"/>
      <c r="I253" s="61"/>
      <c r="J253" s="61"/>
      <c r="K253" s="61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</row>
    <row r="254" spans="1:25" ht="15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</row>
    <row r="255" spans="1:25" ht="15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ht="15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</row>
    <row r="257" spans="1:25" ht="15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5" ht="15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</row>
    <row r="259" spans="1:25" ht="15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</row>
    <row r="260" spans="1:25" ht="15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</row>
    <row r="261" spans="1:25" ht="15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</row>
    <row r="262" spans="1:25" ht="15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</row>
    <row r="263" spans="1:25" ht="15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1:25" ht="15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1:25" ht="15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1:25" ht="15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</row>
    <row r="267" spans="1:25" ht="15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</row>
    <row r="268" spans="1:25" ht="15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1:25" ht="15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</row>
    <row r="270" spans="1:25" ht="15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</row>
    <row r="271" spans="1:25" ht="15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</row>
    <row r="272" spans="1:25" ht="15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</row>
    <row r="273" spans="1:25" ht="15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</row>
    <row r="274" spans="1:25" ht="15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</row>
    <row r="275" spans="1:25" ht="15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</row>
    <row r="276" spans="1:25" ht="15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</row>
    <row r="277" spans="1:25" ht="15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</row>
    <row r="278" spans="1:25" ht="15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</row>
    <row r="279" spans="1:25" ht="15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</row>
    <row r="280" spans="1:25" ht="15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</row>
    <row r="281" spans="1:25" ht="15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</row>
    <row r="282" spans="1:25" ht="15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</row>
    <row r="283" spans="1:25" ht="15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</row>
    <row r="284" spans="1:25" ht="15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</row>
    <row r="285" spans="1:25" ht="15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</row>
    <row r="286" spans="1:25" ht="15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</row>
    <row r="287" spans="1:25" ht="15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</row>
    <row r="288" spans="1:25" ht="15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</row>
    <row r="289" spans="1:25" ht="15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</row>
    <row r="290" spans="1:25" ht="15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 ht="15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 ht="15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 ht="15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 ht="15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 ht="15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 ht="15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 ht="15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 ht="15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 ht="15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 ht="15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 ht="15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 ht="15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 ht="15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 ht="15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 ht="15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 ht="15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 ht="15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 ht="15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 ht="15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 ht="15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 ht="15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 ht="15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 ht="15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 ht="15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 ht="15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 ht="15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 ht="15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 ht="15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 ht="15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ht="15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 ht="15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 ht="15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 ht="15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 ht="15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 ht="15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 ht="15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 ht="15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 ht="15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 ht="15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 ht="15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 ht="15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 ht="15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 ht="15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 ht="15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 ht="15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 ht="15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 ht="15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 ht="15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 ht="15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 ht="15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 ht="15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 ht="15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 ht="15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 ht="15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 ht="15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 ht="15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 ht="15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 ht="15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 ht="15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 ht="15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 ht="15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 ht="15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1:25" ht="15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1:25" ht="15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1:25" ht="15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1:25" ht="15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1:25" ht="15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1:25" ht="15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1:25" ht="15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1:25" ht="15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1:25" ht="15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1:25" ht="15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1:25" ht="15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1:25" ht="15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1:25" ht="15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1:25" ht="15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1:25" ht="15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1:25" ht="15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1:25" ht="15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1:25" ht="15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1:25" ht="15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1:25" ht="15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1:25" ht="15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1:25" ht="15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1:25" ht="15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1:25" ht="15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1:25" ht="15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1:25" ht="15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1:25" ht="15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1:25" ht="15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1:25" ht="15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1:25" ht="15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1:25" ht="15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1:25" ht="15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1:25" ht="15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1:25" ht="15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1:25" ht="15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1:25" ht="15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1:25" ht="15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1:25" ht="15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1:25" ht="15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1:25" ht="15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1:25" ht="15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1:25" ht="15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1:25" ht="15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1:25" ht="15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1:25" ht="15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1:25" ht="15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1:25" ht="15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1:25" ht="15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1:25" ht="15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1:25" ht="15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1:25" ht="15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1:25" ht="15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1:25" ht="15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1:25" ht="15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1:25" ht="15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1:25" ht="15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1:25" ht="15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1:25" ht="15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1:25" ht="15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1:25" ht="15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1:25" ht="15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1:25" ht="15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1:25" ht="15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1:25" ht="15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1:25" ht="15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1:25" ht="15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1:25" ht="15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1:25" ht="15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1:25" ht="15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1:25" ht="15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1:25" ht="15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1:25" ht="15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1:25" ht="15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1:25" ht="15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1:25" ht="15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1:25" ht="15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  <row r="429" spans="1:25" ht="15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</row>
    <row r="430" spans="1:25" ht="15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</row>
    <row r="431" spans="1:25" ht="15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</row>
    <row r="432" spans="1:25" ht="15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</row>
    <row r="433" spans="1:25" ht="15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</row>
    <row r="434" spans="1:25" ht="15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</row>
    <row r="435" spans="1:25" ht="15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</row>
    <row r="436" spans="1:25" ht="15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</row>
    <row r="437" spans="1:25" ht="15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</row>
    <row r="438" spans="1:25" ht="15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</row>
    <row r="439" spans="1:25" ht="15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</row>
    <row r="440" spans="1:25" ht="15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</row>
    <row r="441" spans="1:25" ht="15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</row>
    <row r="442" spans="1:25" ht="15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</row>
    <row r="443" spans="1:25" ht="15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</row>
    <row r="444" spans="1:25" ht="15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</row>
    <row r="445" spans="1:25" ht="15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</row>
    <row r="446" spans="1:25" ht="15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</row>
    <row r="447" spans="1:25" ht="15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</row>
    <row r="448" spans="1:25" ht="15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</row>
    <row r="449" spans="1:25" ht="15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</row>
    <row r="450" spans="1:25" ht="15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</row>
    <row r="451" spans="1:25" ht="15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</row>
    <row r="452" spans="1:25" ht="15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</row>
    <row r="453" spans="1:25" ht="15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</row>
    <row r="454" spans="1:25" ht="15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</row>
    <row r="455" spans="1:25" ht="15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</row>
    <row r="456" spans="1:25" ht="15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</row>
    <row r="457" spans="1:25" ht="15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</row>
    <row r="458" spans="1:25" ht="15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</row>
    <row r="459" spans="1:25" ht="15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</row>
    <row r="460" spans="1:25" ht="15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</row>
    <row r="461" spans="1:25" ht="15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</row>
    <row r="462" spans="1:25" ht="15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</row>
    <row r="463" spans="1:25" ht="15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</row>
    <row r="464" spans="1:25" ht="15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</row>
    <row r="465" spans="1:25" ht="15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</row>
    <row r="466" spans="1:25" ht="15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</row>
    <row r="467" spans="1:25" ht="15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</row>
    <row r="468" spans="1:25" ht="15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</row>
    <row r="469" spans="1:25" ht="15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</row>
    <row r="470" spans="1:25" ht="15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</row>
    <row r="471" spans="1:25" ht="15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</row>
    <row r="472" spans="1:25" ht="15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</row>
    <row r="473" spans="1:25" ht="15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</row>
    <row r="474" spans="1:25" ht="15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</row>
    <row r="475" spans="1:25" ht="15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</row>
    <row r="476" spans="1:25" ht="15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</row>
    <row r="477" spans="1:25" ht="15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</row>
    <row r="478" spans="1:25" ht="15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</row>
    <row r="479" spans="1:25" ht="15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</row>
    <row r="480" spans="1:25" ht="15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</row>
    <row r="481" spans="1:25" ht="15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</row>
    <row r="482" spans="1:25" ht="15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</row>
    <row r="483" spans="1:25" ht="15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</row>
    <row r="484" spans="1:25" ht="15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</row>
    <row r="485" spans="1:25" ht="15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</row>
    <row r="486" spans="1:25" ht="15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</row>
    <row r="487" spans="1:25" ht="15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1:25" ht="15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</row>
    <row r="489" spans="1:25" ht="15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1:25" ht="15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</row>
    <row r="491" spans="1:25" ht="15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</row>
    <row r="492" spans="1:25" ht="15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</row>
    <row r="493" spans="1:25" ht="15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</row>
    <row r="494" spans="1:25" ht="15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</row>
    <row r="495" spans="1:25" ht="15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</row>
    <row r="496" spans="1:25" ht="15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</row>
    <row r="497" spans="1:25" ht="15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</row>
    <row r="498" spans="1:25" ht="15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</row>
    <row r="499" spans="1:25" ht="15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</row>
    <row r="500" spans="1:25" ht="15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</row>
    <row r="501" spans="1:25" ht="15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</row>
    <row r="502" spans="1:25" ht="15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</row>
    <row r="503" spans="1:25" ht="15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</row>
    <row r="504" spans="1:25" ht="15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</row>
    <row r="505" spans="1:25" ht="15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</row>
    <row r="506" spans="1:25" ht="15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</row>
    <row r="507" spans="1:25" ht="15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</row>
    <row r="508" spans="1:25" ht="15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</row>
    <row r="509" spans="1:25" ht="15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</row>
    <row r="510" spans="1:25" ht="15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</row>
    <row r="511" spans="1:25" ht="15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</row>
    <row r="512" spans="1:25" ht="15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</row>
    <row r="513" spans="1:25" ht="15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</row>
    <row r="514" spans="1:25" ht="15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</row>
    <row r="515" spans="1:25" ht="15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</row>
    <row r="516" spans="1:25" ht="15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</row>
    <row r="517" spans="1:25" ht="15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</row>
    <row r="518" spans="1:25" ht="15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</row>
    <row r="519" spans="1:25" ht="15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</row>
    <row r="520" spans="1:25" ht="15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</row>
    <row r="521" spans="1:25" ht="15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</row>
    <row r="522" spans="1:25" ht="15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</row>
    <row r="523" spans="1:25" ht="15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</row>
    <row r="524" spans="1:25" ht="15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</row>
    <row r="525" spans="1:25" ht="15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</row>
    <row r="526" spans="1:25" ht="15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</row>
    <row r="527" spans="1:25" ht="15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</row>
    <row r="528" spans="1:25" ht="15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</row>
    <row r="529" spans="1:25" ht="15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</row>
    <row r="530" spans="1:25" ht="15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</row>
    <row r="531" spans="1:25" ht="15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</row>
    <row r="532" spans="1:25" ht="15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</row>
    <row r="533" spans="1:25" ht="15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</row>
    <row r="534" spans="1:25" ht="15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</row>
    <row r="535" spans="1:25" ht="15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</row>
    <row r="536" spans="1:25" ht="15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</row>
    <row r="537" spans="1:25" ht="15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</row>
    <row r="538" spans="1:25" ht="15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</row>
    <row r="539" spans="1:25" ht="15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</row>
    <row r="540" spans="1:25" ht="15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</row>
    <row r="541" spans="1:25" ht="15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</row>
    <row r="542" spans="1:25" ht="15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</row>
    <row r="543" spans="1:25" ht="15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</row>
    <row r="544" spans="1:25" ht="15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</row>
    <row r="545" spans="1:25" ht="15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</row>
    <row r="546" spans="1:25" ht="15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</row>
    <row r="547" spans="1:25" ht="15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</row>
    <row r="548" spans="1:25" ht="15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</row>
    <row r="549" spans="1:25" ht="15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</row>
    <row r="550" spans="1:25" ht="15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</row>
    <row r="551" spans="1:25" ht="15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</row>
    <row r="552" spans="1:25" ht="15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</row>
    <row r="553" spans="1:25" ht="15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</row>
    <row r="554" spans="1:25" ht="15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</row>
    <row r="555" spans="1:25" ht="15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1:25" ht="15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1:25" ht="15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</row>
    <row r="558" spans="1:25" ht="15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</row>
    <row r="559" spans="1:25" ht="15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</row>
    <row r="560" spans="1:25" ht="15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</row>
    <row r="561" spans="1:25" ht="15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</row>
    <row r="562" spans="1:25" ht="15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</row>
    <row r="563" spans="1:25" ht="15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</row>
    <row r="564" spans="1:25" ht="15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</row>
    <row r="565" spans="1:25" ht="15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</row>
    <row r="566" spans="1:25" ht="15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</row>
    <row r="567" spans="1:25" ht="15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</row>
    <row r="568" spans="1:25" ht="15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</row>
    <row r="569" spans="1:25" ht="15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1:25" ht="15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</row>
    <row r="571" spans="1:25" ht="15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1:25" ht="15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</row>
    <row r="573" spans="1:25" ht="15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</row>
    <row r="574" spans="1:25" ht="15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</row>
    <row r="575" spans="1:25" ht="15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</row>
    <row r="576" spans="1:25" ht="15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</row>
    <row r="577" spans="1:25" ht="15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</row>
    <row r="578" spans="1:25" ht="15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</row>
    <row r="579" spans="1:25" ht="15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</row>
    <row r="580" spans="1:25" ht="15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</row>
    <row r="581" spans="1:25" ht="15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</row>
    <row r="582" spans="1:25" ht="15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</row>
    <row r="583" spans="1:25" ht="15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</row>
    <row r="584" spans="1:25" ht="15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</row>
    <row r="585" spans="1:25" ht="15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</row>
    <row r="586" spans="1:25" ht="15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</row>
    <row r="587" spans="1:25" ht="15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</row>
    <row r="588" spans="1:25" ht="15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</row>
    <row r="589" spans="1:25" ht="15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</row>
    <row r="590" spans="1:25" ht="15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</row>
    <row r="591" spans="1:25" ht="15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</row>
    <row r="592" spans="1:25" ht="15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</row>
    <row r="593" spans="1:25" ht="15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</row>
    <row r="594" spans="1:25" ht="15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</row>
    <row r="595" spans="1:25" ht="15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</row>
    <row r="596" spans="1:25" ht="15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</row>
    <row r="597" spans="1:25" ht="15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</row>
    <row r="598" spans="1:25" ht="15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</row>
    <row r="599" spans="1:25" ht="15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</row>
    <row r="600" spans="1:25" ht="15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</row>
    <row r="601" spans="1:25" ht="15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</row>
    <row r="602" spans="1:25" ht="15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</row>
    <row r="603" spans="1:25" ht="15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</row>
    <row r="604" spans="1:25" ht="15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</row>
    <row r="605" spans="1:25" ht="15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</row>
    <row r="606" spans="1:25" ht="15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</row>
    <row r="607" spans="1:25" ht="15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</row>
    <row r="608" spans="1:25" ht="15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</row>
    <row r="609" spans="1:25" ht="15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1:25" ht="15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</row>
    <row r="611" spans="1:25" ht="15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1:25" ht="15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</row>
    <row r="613" spans="1:25" ht="15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</row>
    <row r="614" spans="1:25" ht="15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</row>
    <row r="615" spans="1:25" ht="15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</row>
    <row r="616" spans="1:25" ht="15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</row>
    <row r="617" spans="1:25" ht="15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</row>
    <row r="618" spans="1:25" ht="15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</row>
    <row r="619" spans="1:25" ht="15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</row>
    <row r="620" spans="1:25" ht="15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</row>
    <row r="621" spans="1:25" ht="15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</row>
    <row r="622" spans="1:25" ht="15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</row>
    <row r="623" spans="1:25" ht="15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</row>
    <row r="624" spans="1:25" ht="15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</row>
    <row r="625" spans="1:25" ht="15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</row>
    <row r="626" spans="1:25" ht="15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</row>
    <row r="627" spans="1:25" ht="15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</row>
    <row r="628" spans="1:25" ht="15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</row>
    <row r="629" spans="1:25" ht="15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</row>
    <row r="630" spans="1:25" ht="15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</row>
    <row r="631" spans="1:25" ht="15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1:25" ht="15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1:25" ht="15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1:25" ht="15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1:25" ht="15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1:25" ht="15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1:25" ht="15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1:25" ht="15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1:25" ht="15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1:25" ht="15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1:25" ht="15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1:25" ht="15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1:25" ht="15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1:25" ht="15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1:25" ht="15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1:25" ht="15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1:25" ht="15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1:25" ht="15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1:25" ht="15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1:25" ht="15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1:25" ht="15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1:25" ht="15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1:25" ht="15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1:25" ht="15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1:25" ht="15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1:25" ht="15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1:25" ht="15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1:25" ht="15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1:25" ht="15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1:25" ht="15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1:25" ht="15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1:25" ht="15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1:25" ht="15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1:25" ht="15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1:25" ht="15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1:25" ht="15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1:25" ht="15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1:25" ht="15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1:25" ht="15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1:25" ht="15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1:25" ht="15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1:25" ht="15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1:25" ht="15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1:25" ht="15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1:25" ht="15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1:25" ht="15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1:25" ht="15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1:25" ht="15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1:25" ht="15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1:25" ht="15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1:25" ht="15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1:25" ht="15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1:25" ht="15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1:25" ht="15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1:25" ht="15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1:25" ht="15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1:25" ht="15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1:25" ht="15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1:25" ht="15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1:25" ht="15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1:25" ht="15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1:25" ht="15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1:25" ht="15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1:25" ht="15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1:25" ht="15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1:25" ht="15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1:25" ht="15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1:25" ht="15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1:25" ht="15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1:25" ht="15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1:25" ht="15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1:25" ht="15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1:25" ht="15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1:25" ht="15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1:25" ht="15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1:25" ht="15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1:25" ht="15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1:25" ht="15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1:25" ht="15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1:25" ht="15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1:25" ht="15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1:25" ht="15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1:25" ht="15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1:25" ht="15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1:25" ht="15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1:25" ht="15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1:25" ht="15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1:25" ht="15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1:25" ht="15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1:25" ht="15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1:25" ht="15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1:25" ht="15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1:25" ht="15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1:25" ht="15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1:25" ht="15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1:25" ht="15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1:25" ht="15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1:25" ht="15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1:25" ht="15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1:25" ht="15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1:25" ht="15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1:25" ht="15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1:25" ht="15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1:25" ht="15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1:25" ht="15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1:25" ht="15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1:25" ht="15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1:25" ht="15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1:25" ht="15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1:25" ht="15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1:25" ht="15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1:25" ht="15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1:25" ht="15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1:25" ht="15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1:25" ht="15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1:25" ht="15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1:25" ht="15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  <row r="748" spans="1:25" ht="15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</row>
    <row r="749" spans="1:25" ht="15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</row>
    <row r="750" spans="1:25" ht="15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</row>
    <row r="751" spans="1:25" ht="15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</row>
    <row r="752" spans="1:25" ht="15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</row>
    <row r="753" spans="1:25" ht="15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</row>
    <row r="754" spans="1:25" ht="15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</row>
    <row r="755" spans="1:25" ht="15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</row>
    <row r="756" spans="1:25" ht="15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</row>
    <row r="757" spans="1:25" ht="15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</row>
    <row r="758" spans="1:25" ht="15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</row>
    <row r="759" spans="1:25" ht="15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</row>
    <row r="760" spans="1:25" ht="15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</row>
    <row r="761" spans="1:25" ht="15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</row>
    <row r="762" spans="1:25" ht="15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</row>
    <row r="763" spans="1:25" ht="15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</row>
    <row r="764" spans="1:25" ht="15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</row>
    <row r="765" spans="1:25" ht="15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</row>
    <row r="766" spans="1:25" ht="15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</row>
    <row r="767" spans="1:25" ht="15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</row>
    <row r="768" spans="1:25" ht="15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</row>
    <row r="769" spans="1:25" ht="15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</row>
    <row r="770" spans="1:25" ht="15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</row>
    <row r="771" spans="1:25" ht="15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</row>
    <row r="772" spans="1:25" ht="15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</row>
    <row r="773" spans="1:25" ht="15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</row>
    <row r="774" spans="1:25" ht="15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</row>
    <row r="775" spans="1:25" ht="15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</row>
    <row r="776" spans="1:25" ht="15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</row>
    <row r="777" spans="1:25" ht="15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</row>
    <row r="778" spans="1:25" ht="15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</row>
    <row r="779" spans="1:25" ht="15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</row>
    <row r="780" spans="1:25" ht="15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</row>
    <row r="781" spans="1:25" ht="15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</row>
    <row r="782" spans="1:25" ht="15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</row>
    <row r="783" spans="1:25" ht="15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</row>
    <row r="784" spans="1:25" ht="15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</row>
    <row r="785" spans="1:25" ht="15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</row>
    <row r="786" spans="1:25" ht="15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</row>
    <row r="787" spans="1:25" ht="15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</row>
    <row r="788" spans="1:25" ht="15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</row>
    <row r="789" spans="1:25" ht="15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</row>
    <row r="790" spans="1:25" ht="15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</row>
    <row r="791" spans="1:25" ht="15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</row>
    <row r="792" spans="1:25" ht="15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</row>
    <row r="793" spans="1:25" ht="15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</row>
    <row r="794" spans="1:25" ht="15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</row>
    <row r="795" spans="1:25" ht="15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</row>
    <row r="796" spans="1:25" ht="15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</row>
    <row r="797" spans="1:25" ht="15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</row>
    <row r="798" spans="1:25" ht="15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</row>
    <row r="799" spans="1:25" ht="15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</row>
    <row r="800" spans="1:25" ht="15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</row>
    <row r="801" spans="1:25" ht="15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</row>
    <row r="802" spans="1:25" ht="15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</row>
    <row r="803" spans="1:25" ht="15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1:25" ht="15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</row>
    <row r="805" spans="1:25" ht="15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</row>
    <row r="806" spans="1:25" ht="15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</row>
    <row r="807" spans="1:25" ht="15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</row>
    <row r="808" spans="1:25" ht="15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</row>
    <row r="809" spans="1:25" ht="15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</row>
    <row r="810" spans="1:25" ht="15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</row>
    <row r="811" spans="1:25" ht="15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</row>
    <row r="812" spans="1:25" ht="15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</row>
    <row r="813" spans="1:25" ht="15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</row>
    <row r="814" spans="1:25" ht="15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</row>
    <row r="815" spans="1:25" ht="15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</row>
    <row r="816" spans="1:25" ht="15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1:25" ht="15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</row>
    <row r="818" spans="1:25" ht="15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1:25" ht="15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</row>
    <row r="820" spans="1:25" ht="15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</row>
    <row r="821" spans="1:25" ht="15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</row>
    <row r="822" spans="1:25" ht="15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</row>
    <row r="823" spans="1:25" ht="15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</row>
    <row r="824" spans="1:25" ht="15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</row>
    <row r="825" spans="1:25" ht="15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</row>
    <row r="826" spans="1:25" ht="15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</row>
    <row r="827" spans="1:25" ht="15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</row>
    <row r="828" spans="1:25" ht="15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</row>
    <row r="829" spans="1:25" ht="15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</row>
    <row r="830" spans="1:25" ht="15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</row>
    <row r="831" spans="1:25" ht="15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</row>
    <row r="832" spans="1:25" ht="15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</row>
    <row r="833" spans="1:25" ht="15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</row>
    <row r="834" spans="1:25" ht="15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</row>
    <row r="835" spans="1:25" ht="15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</row>
    <row r="836" spans="1:25" ht="15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</row>
    <row r="837" spans="1:25" ht="15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</row>
    <row r="838" spans="1:25" ht="15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</row>
    <row r="839" spans="1:25" ht="15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</row>
    <row r="840" spans="1:25" ht="15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</row>
    <row r="841" spans="1:25" ht="15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</row>
    <row r="842" spans="1:25" ht="15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</row>
    <row r="843" spans="1:25" ht="15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</row>
    <row r="844" spans="1:25" ht="15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</row>
    <row r="845" spans="1:25" ht="15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</row>
    <row r="846" spans="1:25" ht="15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</row>
    <row r="847" spans="1:25" ht="15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</row>
    <row r="848" spans="1:25" ht="15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</row>
    <row r="849" spans="1:25" ht="15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</row>
    <row r="850" spans="1:25" ht="15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</row>
    <row r="851" spans="1:25" ht="15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1:25" ht="15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</row>
    <row r="853" spans="1:25" ht="15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1:25" ht="15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</row>
    <row r="855" spans="1:25" ht="15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</row>
    <row r="856" spans="1:25" ht="15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</row>
    <row r="857" spans="1:25" ht="15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</row>
    <row r="858" spans="1:25" ht="15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</row>
    <row r="859" spans="1:25" ht="15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</row>
    <row r="860" spans="1:25" ht="15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</row>
    <row r="861" spans="1:25" ht="15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</row>
    <row r="862" spans="1:25" ht="15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</row>
    <row r="863" spans="1:25" ht="15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</row>
    <row r="864" spans="1:25" ht="15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</row>
    <row r="865" spans="1:25" ht="15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</row>
    <row r="866" spans="1:25" ht="15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</row>
    <row r="867" spans="1:25" ht="15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</row>
    <row r="868" spans="1:25" ht="15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</row>
    <row r="869" spans="1:25" ht="15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</row>
    <row r="870" spans="1:25" ht="15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</row>
    <row r="871" spans="1:25" ht="15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</row>
    <row r="872" spans="1:25" ht="15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</row>
    <row r="873" spans="1:25" ht="15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</row>
    <row r="874" spans="1:25" ht="15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</row>
    <row r="875" spans="1:25" ht="15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1:25" ht="15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</row>
    <row r="877" spans="1:25" ht="15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1:25" ht="15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1:25" ht="15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1:25" ht="15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1:25" ht="15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1:25" ht="15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1:25" ht="15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1:25" ht="15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1:25" ht="15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1:25" ht="15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1:25" ht="15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1:25" ht="15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1:25" ht="15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1:25" ht="15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1:25" ht="15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1:25" ht="15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1:25" ht="15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1:25" ht="15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1:25" ht="15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1:25" ht="15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1:25" ht="15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1:25" ht="15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1:25" ht="15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1:25" ht="15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1:25" ht="15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1:25" ht="15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1:25" ht="15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1:25" ht="15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1:25" ht="15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1:25" ht="15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1:25" ht="15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1:25" ht="15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1:25" ht="15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1:25" ht="15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1:25" ht="15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1:25" ht="15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1:25" ht="15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1:25" ht="15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1:25" ht="15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1:25" ht="15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1:25" ht="15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1:25" ht="15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1:25" ht="15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1:25" ht="15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1:25" ht="15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1:25" ht="15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1:25" ht="15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1:25" ht="15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1:25" ht="15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1:25" ht="15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1:25" ht="15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1:25" ht="15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1:25" ht="15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1:25" ht="15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1:25" ht="15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1:25" ht="15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1:25" ht="15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1:25" ht="15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1:25" ht="15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1:25" ht="15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1:25" ht="15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1:25" ht="15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1:25" ht="15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1:25" ht="15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1:25" ht="15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1:25" ht="15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1:25" ht="15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1:25" ht="15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1:25" ht="15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1:25" ht="15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1:25" ht="15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1:25" ht="15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1:25" ht="15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1:25" ht="15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1:25" ht="15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1:25" ht="15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1:25" ht="15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1:25" ht="15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1:25" ht="15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1:25" ht="15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1:25" ht="15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1:25" ht="15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1:25" ht="15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1:25" ht="15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1:25" ht="15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1:25" ht="15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1:25" ht="15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1:25" ht="15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1:25" ht="15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1:25" ht="15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1:25" ht="15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1:25" ht="15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1:25" ht="15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1:25" ht="15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1:25" ht="15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1:25" ht="15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1:25" ht="15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1:25" ht="15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1:25" ht="15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1:25" ht="15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1:25" ht="15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1:25" ht="15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1:25" ht="15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1:25" ht="15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1:25" ht="15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1:25" ht="15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1:25" ht="15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1:25" ht="15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1:25" ht="15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1:25" ht="15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1:25" ht="15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1:25" ht="15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1:25" ht="15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1:25" ht="15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1:25" ht="15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1:25" ht="15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1:25" ht="15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1:25" ht="15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1:25" ht="15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1:25" ht="15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1:25" ht="15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1:25" ht="15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1:25" ht="15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1:25" ht="15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3">
    <mergeCell ref="A9:A11"/>
    <mergeCell ref="A13:A14"/>
    <mergeCell ref="A33:A54"/>
  </mergeCell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Sommaire</vt:lpstr>
      <vt:lpstr>Checklist</vt:lpstr>
      <vt:lpstr>Hypotheses</vt:lpstr>
      <vt:lpstr>Estimation des autres charges</vt:lpstr>
      <vt:lpstr>OPEX</vt:lpstr>
      <vt:lpstr>Amort_Immobilisation</vt:lpstr>
      <vt:lpstr>TA _Invest</vt:lpstr>
      <vt:lpstr>TA _Exploitation</vt:lpstr>
      <vt:lpstr>CEP</vt:lpstr>
      <vt:lpstr>Plan tréso</vt:lpstr>
      <vt:lpstr>Cashflow</vt:lpstr>
      <vt:lpstr>Données_Graph</vt:lpstr>
      <vt:lpstr>GRAPH</vt:lpstr>
      <vt:lpstr>Equilibre</vt:lpstr>
      <vt:lpstr>Amort_Bat</vt:lpstr>
      <vt:lpstr>Amort_Equipement</vt:lpstr>
      <vt:lpstr>Amort_Installation</vt:lpstr>
      <vt:lpstr>Amort_MMB</vt:lpstr>
      <vt:lpstr>Amort_Vehicule</vt:lpstr>
      <vt:lpstr>DaysPayable</vt:lpstr>
      <vt:lpstr>DaysReceivable</vt:lpstr>
      <vt:lpstr>Delais_clients</vt:lpstr>
      <vt:lpstr>Delais_Frs</vt:lpstr>
      <vt:lpstr>Delais_Stocks</vt:lpstr>
      <vt:lpstr>Inflation</vt:lpstr>
      <vt:lpstr>InventoryTurnover</vt:lpstr>
      <vt:lpstr>jours_an</vt:lpstr>
      <vt:lpstr>Taux_interet</vt:lpstr>
      <vt:lpstr>Taux_IS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Adenuga-Taiwo, O.</dc:creator>
  <cp:lastModifiedBy>DIAOUNE, FATOU</cp:lastModifiedBy>
  <dcterms:created xsi:type="dcterms:W3CDTF">2018-05-21T10:20:15Z</dcterms:created>
  <dcterms:modified xsi:type="dcterms:W3CDTF">2023-01-26T16:16:07Z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2023-01-26T16:15:00Z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470cf869-64fb-48a2-9773-1677caeb41d2</vt:lpwstr>
  </property>
  <property fmtid="{D5CDD505-2E9C-101B-9397-08002B2CF9AE}" pid="8" name="MSIP_Label_e463cba9-5f6c-478d-9329-7b2295e4e8ed_ContentBits">
    <vt:lpwstr>0</vt:lpwstr>
  </property>
</Properties>
</file>